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440" tabRatio="782" activeTab="0"/>
  </bookViews>
  <sheets>
    <sheet name="Orientações" sheetId="1" r:id="rId1"/>
    <sheet name="Prédios" sheetId="2" r:id="rId2"/>
    <sheet name="Demanda" sheetId="3" r:id="rId3"/>
    <sheet name="M.O." sheetId="4" r:id="rId4"/>
    <sheet name="Eqto" sheetId="5" r:id="rId5"/>
    <sheet name="Mat" sheetId="6" r:id="rId6"/>
    <sheet name="Preço" sheetId="7" r:id="rId7"/>
  </sheets>
  <externalReferences>
    <externalReference r:id="rId10"/>
    <externalReference r:id="rId11"/>
    <externalReference r:id="rId12"/>
  </externalReferences>
  <definedNames>
    <definedName name="_1_9_1">'[2]Plan1'!$J$24</definedName>
    <definedName name="_xlfn.AGGREGATE" hidden="1">#NAME?</definedName>
    <definedName name="_xlfn.AVERAGEIF" hidden="1">#NAME?</definedName>
    <definedName name="_xlfn.BAHTTEXT" hidden="1">#NAME?</definedName>
    <definedName name="_xlnm.Print_Area" localSheetId="2">'Demanda'!#REF!</definedName>
    <definedName name="_xlnm.Print_Area" localSheetId="3">'M.O.'!$A$1:$J$60</definedName>
    <definedName name="ISS">#REF!</definedName>
    <definedName name="Results">#REF!</definedName>
    <definedName name="UniformeMensageiro">#REF!</definedName>
    <definedName name="UniformeMensageiros">#REF!</definedName>
    <definedName name="UniformeRecepcionista">#REF!</definedName>
  </definedNames>
  <calcPr fullCalcOnLoad="1"/>
</workbook>
</file>

<file path=xl/comments3.xml><?xml version="1.0" encoding="utf-8"?>
<comments xmlns="http://schemas.openxmlformats.org/spreadsheetml/2006/main">
  <authors>
    <author>Franklin Brasil Santos</author>
  </authors>
  <commentList>
    <comment ref="B1" authorId="0">
      <text>
        <r>
          <rPr>
            <sz val="9"/>
            <rFont val="Segoe UI"/>
            <family val="2"/>
          </rPr>
          <t>Números consolidados a partir da planilha "Prédios"</t>
        </r>
      </text>
    </comment>
    <comment ref="C1" authorId="0">
      <text>
        <r>
          <rPr>
            <sz val="9"/>
            <rFont val="Segoe UI"/>
            <family val="2"/>
          </rPr>
          <t>Inserir a produtividade horária proposta (m2 a serem limpos por hora trabalhada)</t>
        </r>
        <r>
          <rPr>
            <sz val="9"/>
            <rFont val="Segoe UI"/>
            <family val="0"/>
          </rPr>
          <t xml:space="preserve">
</t>
        </r>
      </text>
    </comment>
    <comment ref="D1" authorId="0">
      <text>
        <r>
          <rPr>
            <sz val="9"/>
            <rFont val="Segoe UI"/>
            <family val="2"/>
          </rPr>
          <t>Divisão da área física a ser limpa pela produtividade horária. 
Calcula o total de horas necessárias para executar a limpeza de todas as áreas quando demandado (1x, ou seja, 1 vez)</t>
        </r>
      </text>
    </comment>
  </commentList>
</comments>
</file>

<file path=xl/comments4.xml><?xml version="1.0" encoding="utf-8"?>
<comments xmlns="http://schemas.openxmlformats.org/spreadsheetml/2006/main">
  <authors>
    <author>Franklin Brasil Santos</author>
    <author>acer</author>
  </authors>
  <commentList>
    <comment ref="E53" authorId="0">
      <text>
        <r>
          <rPr>
            <sz val="9"/>
            <rFont val="Segoe UI"/>
            <family val="2"/>
          </rPr>
          <t xml:space="preserve">Empresas de Limpeza, Asseio e Conservação enquadradas no Lucro Real estão autorizadas a aproveitar créditos de PIS/COFINS associados aos custos com fornecimento de vale-transporte, vale-refeição, vale-alimentação e cesta básica. Tal prerrogativa é concedida pelo Art. 3º da Lei nº 10.637/2002 e pelo Art. 3º da Lei nº 10.833//2003, amparados pela Solução COSIT Nº 219/2014.
</t>
        </r>
      </text>
    </comment>
    <comment ref="B7" authorId="0">
      <text>
        <r>
          <rPr>
            <sz val="9"/>
            <rFont val="Segoe UI"/>
            <family val="2"/>
          </rPr>
          <t>Inserir a quantidade de horas (média) trabalhadas pelo empregado na semana, conforme a jornada pactuada no tipo de categoria profissional</t>
        </r>
      </text>
    </comment>
    <comment ref="B8" authorId="0">
      <text>
        <r>
          <rPr>
            <sz val="9"/>
            <rFont val="Segoe UI"/>
            <family val="2"/>
          </rPr>
          <t>Inserir a quantidade de dias (média) trabalhados pelo empregado na semana, conforme a jornada pactuada no tipo de categoria profissional</t>
        </r>
      </text>
    </comment>
    <comment ref="B9" authorId="0">
      <text>
        <r>
          <rPr>
            <sz val="9"/>
            <rFont val="Segoe UI"/>
            <family val="2"/>
          </rPr>
          <t xml:space="preserve">Campo calculado. Jornada semanal / dias trabalhados na semana
</t>
        </r>
      </text>
    </comment>
    <comment ref="B10" authorId="0">
      <text>
        <r>
          <rPr>
            <sz val="9"/>
            <rFont val="Segoe UI"/>
            <family val="2"/>
          </rPr>
          <t>Inserir a quantidade de dias (média) úteis trabalhados pelo empregado no mês, conforme a jornada pactuada no tipo de categoria profissional</t>
        </r>
      </text>
    </comment>
    <comment ref="B11" authorId="0">
      <text>
        <r>
          <rPr>
            <sz val="9"/>
            <rFont val="Segoe UI"/>
            <family val="2"/>
          </rPr>
          <t>Inserir a quantidade de empregados previstos conforme a jornada pactuada no tipo de categoria profissional</t>
        </r>
      </text>
    </comment>
    <comment ref="D53" authorId="0">
      <text>
        <r>
          <rPr>
            <sz val="9"/>
            <rFont val="Segoe UI"/>
            <family val="2"/>
          </rPr>
          <t xml:space="preserve">Utilizar em caso de a empresa adotar Lucro Real. Caso negativo, ignorar
</t>
        </r>
      </text>
    </comment>
    <comment ref="D59" authorId="0">
      <text>
        <r>
          <rPr>
            <sz val="9"/>
            <rFont val="Segoe UI"/>
            <family val="2"/>
          </rPr>
          <t xml:space="preserve">Utilizar em caso de a empresa adotar Lucro Real. Caso negativo, ignorar
</t>
        </r>
      </text>
    </comment>
    <comment ref="E59" authorId="0">
      <text>
        <r>
          <rPr>
            <sz val="9"/>
            <rFont val="Segoe UI"/>
            <family val="2"/>
          </rPr>
          <t xml:space="preserve">Empresas de Limpeza, Asseio e Conservação enquadradas no Lucro Real estão autorizadas a aproveitar créditos de PIS/COFINS associados aos custos com fornecimento de uniformes, conforme Acórdão nº  9303­005.192  –  3ª Turma do CARF
</t>
        </r>
      </text>
    </comment>
    <comment ref="C5" authorId="0">
      <text>
        <r>
          <rPr>
            <sz val="9"/>
            <rFont val="Segoe UI"/>
            <family val="2"/>
          </rPr>
          <t xml:space="preserve">Inserir uma coluna para cada combinação de categoria profissional e jornada de trabalho pactuada. 
Os casos inseridos aqui são apenas exemplos. 
O licitante deve inserir uma coluna para cada categoria/jornada que julgar necessária, conforme sua estratégia e metodologia de composição da força de trabalho que irá executar as atividades.
</t>
        </r>
      </text>
    </comment>
    <comment ref="D12" authorId="1">
      <text>
        <r>
          <rPr>
            <sz val="9"/>
            <rFont val="Segoe UI"/>
            <family val="2"/>
          </rPr>
          <t>Quantidade deve igual ou superior à estimada na planilha "Demanda"</t>
        </r>
      </text>
    </comment>
  </commentList>
</comments>
</file>

<file path=xl/comments5.xml><?xml version="1.0" encoding="utf-8"?>
<comments xmlns="http://schemas.openxmlformats.org/spreadsheetml/2006/main">
  <authors>
    <author>Franklin Brasil Santos</author>
  </authors>
  <commentList>
    <comment ref="K18" authorId="0">
      <text>
        <r>
          <rPr>
            <sz val="9"/>
            <rFont val="Segoe UI"/>
            <family val="2"/>
          </rPr>
          <t xml:space="preserve">Utilizar em caso de a empresa adotar Lucro Real. Caso negativo, ignorar
</t>
        </r>
      </text>
    </comment>
    <comment ref="L18" authorId="0">
      <text>
        <r>
          <rPr>
            <sz val="9"/>
            <rFont val="Segoe UI"/>
            <family val="2"/>
          </rPr>
          <t xml:space="preserve">Empresas de Limpeza, Asseio e Conservação enquadradas no Lucro Real estão autorizadas a aproveitar créditos de PIS/COFINS associados aos custos com fornecimento de uniformes, conforme Acórdão nº  9303­005.192  –  3ª Turma do CARF
</t>
        </r>
      </text>
    </comment>
    <comment ref="L1" authorId="0">
      <text>
        <r>
          <rPr>
            <sz val="9"/>
            <rFont val="Segoe UI"/>
            <family val="2"/>
          </rPr>
          <t>Calcular o custo do equipamento conforme sua utilização na realização de todas as atividades previstas, considerando o custo mensal
Exemplo: Se o custo mensal do equipamento é R$ 100 e ele for utilizado por 15 dias para executar todas as atividades previstas, o custo a ser inserido é R$ 50 (100 * 15/30)
Exemplo 2: Se o mesmo equipamento for necessário por 2 meses (60 dias) para executar todas as atividades, o custo a ser inserido é R$ 200 (100 * 60/30)</t>
        </r>
      </text>
    </comment>
  </commentList>
</comments>
</file>

<file path=xl/comments6.xml><?xml version="1.0" encoding="utf-8"?>
<comments xmlns="http://schemas.openxmlformats.org/spreadsheetml/2006/main">
  <authors>
    <author>Franklin Brasil Santos</author>
  </authors>
  <commentList>
    <comment ref="E23" authorId="0">
      <text>
        <r>
          <rPr>
            <sz val="9"/>
            <rFont val="Segoe UI"/>
            <family val="2"/>
          </rPr>
          <t xml:space="preserve">Utilizar em caso de a empresa adotar Lucro Real. Caso negativo, ignorar
</t>
        </r>
      </text>
    </comment>
    <comment ref="F23" authorId="0">
      <text>
        <r>
          <rPr>
            <sz val="9"/>
            <rFont val="Segoe UI"/>
            <family val="2"/>
          </rPr>
          <t xml:space="preserve">Empresas de Limpeza, Asseio e Conservação enquadradas no Lucro Real estão autorizadas a aproveitar créditos de PIS/COFINS associados aos custos com fornecimento de uniformes, conforme Acórdão nº  9303­005.192  –  3ª Turma do CARF
</t>
        </r>
      </text>
    </comment>
  </commentList>
</comments>
</file>

<file path=xl/comments7.xml><?xml version="1.0" encoding="utf-8"?>
<comments xmlns="http://schemas.openxmlformats.org/spreadsheetml/2006/main">
  <authors>
    <author>Franklin Brasil Santos</author>
  </authors>
  <commentList>
    <comment ref="B4" authorId="0">
      <text>
        <r>
          <rPr>
            <b/>
            <sz val="9"/>
            <rFont val="Segoe UI"/>
            <family val="2"/>
          </rPr>
          <t>Calculado com base na planilha M.O.</t>
        </r>
      </text>
    </comment>
    <comment ref="B7" authorId="0">
      <text>
        <r>
          <rPr>
            <b/>
            <sz val="9"/>
            <rFont val="Segoe UI"/>
            <family val="2"/>
          </rPr>
          <t>Calculado com base nas planilhas "Eqto" e "Mat"</t>
        </r>
        <r>
          <rPr>
            <sz val="9"/>
            <rFont val="Segoe UI"/>
            <family val="2"/>
          </rPr>
          <t xml:space="preserve">
</t>
        </r>
      </text>
    </comment>
    <comment ref="D10" authorId="0">
      <text>
        <r>
          <rPr>
            <sz val="9"/>
            <rFont val="Segoe UI"/>
            <family val="2"/>
          </rPr>
          <t xml:space="preserve">Inserir o percentual de Despesas Indiretas em relação aos custos de mão de obra e tecnologia
</t>
        </r>
      </text>
    </comment>
    <comment ref="C15" authorId="0">
      <text>
        <r>
          <rPr>
            <sz val="9"/>
            <rFont val="Segoe UI"/>
            <family val="2"/>
          </rPr>
          <t xml:space="preserve">Inserir percentual conforme o regime tributário
</t>
        </r>
      </text>
    </comment>
    <comment ref="C17" authorId="0">
      <text>
        <r>
          <rPr>
            <sz val="9"/>
            <rFont val="Segoe UI"/>
            <family val="2"/>
          </rPr>
          <t xml:space="preserve">Inserir conforme a alíquota correspondente
</t>
        </r>
      </text>
    </comment>
    <comment ref="D11" authorId="0">
      <text>
        <r>
          <rPr>
            <sz val="9"/>
            <rFont val="Segoe UI"/>
            <family val="2"/>
          </rPr>
          <t xml:space="preserve">Inserir o lucro por m2 de área a ser limpa
Exemplo: R$ 0,10/m2
</t>
        </r>
      </text>
    </comment>
    <comment ref="B19" authorId="0">
      <text>
        <r>
          <rPr>
            <sz val="9"/>
            <rFont val="Segoe UI"/>
            <family val="2"/>
          </rPr>
          <t xml:space="preserve">Totaliza o valor a ser pago por todas as atividades previstas quando o serviço for demandado
</t>
        </r>
      </text>
    </comment>
  </commentList>
</comments>
</file>

<file path=xl/sharedStrings.xml><?xml version="1.0" encoding="utf-8"?>
<sst xmlns="http://schemas.openxmlformats.org/spreadsheetml/2006/main" count="425" uniqueCount="220">
  <si>
    <t>TOTAL</t>
  </si>
  <si>
    <t>Valor (R$)</t>
  </si>
  <si>
    <t>Despesas Indiretas</t>
  </si>
  <si>
    <t>%</t>
  </si>
  <si>
    <t>TIPO DE AREA</t>
  </si>
  <si>
    <t>M2</t>
  </si>
  <si>
    <t>PRODUTIVIDADE (M2/H)</t>
  </si>
  <si>
    <t>Classificação Brasileira de Ocupações (CBO)</t>
  </si>
  <si>
    <t>5143-20</t>
  </si>
  <si>
    <t>Composição da Remuneração</t>
  </si>
  <si>
    <t>Referência</t>
  </si>
  <si>
    <t>A</t>
  </si>
  <si>
    <t>Salário Base</t>
  </si>
  <si>
    <t>B</t>
  </si>
  <si>
    <t>C</t>
  </si>
  <si>
    <t>D</t>
  </si>
  <si>
    <t>E</t>
  </si>
  <si>
    <t>Adicional de Periculosidade</t>
  </si>
  <si>
    <t>F</t>
  </si>
  <si>
    <t>Outros (especificar)</t>
  </si>
  <si>
    <t>Total da Remuneração</t>
  </si>
  <si>
    <t>Transporte</t>
  </si>
  <si>
    <t>A.1</t>
  </si>
  <si>
    <t>Crédito PIS/COFINS</t>
  </si>
  <si>
    <t>Auxílio Alimentação</t>
  </si>
  <si>
    <t>Total de Benefícios mensais e diários</t>
  </si>
  <si>
    <t>Salário Normativo</t>
  </si>
  <si>
    <t>Data base da categoria</t>
  </si>
  <si>
    <t>Módulo 1: Remuneração</t>
  </si>
  <si>
    <t>Módulo 2: Encargos</t>
  </si>
  <si>
    <t>Composição dos Encargos Sociais e Trabalhistas</t>
  </si>
  <si>
    <t>Módulo 3: Benefícios</t>
  </si>
  <si>
    <t>Composição de benefícios mensais e diários</t>
  </si>
  <si>
    <t>Módulo 4: Insumos</t>
  </si>
  <si>
    <t>Composição de insumos</t>
  </si>
  <si>
    <t xml:space="preserve"> Total de insumos</t>
  </si>
  <si>
    <t xml:space="preserve">   C1. Tributos Federais (PIS + COFINS)</t>
  </si>
  <si>
    <t xml:space="preserve">   C2. Tributos Estaduais (especificar)</t>
  </si>
  <si>
    <t xml:space="preserve">   C3. Tributos Municipais (ISSQN)</t>
  </si>
  <si>
    <t>Custo Mão de Obra</t>
  </si>
  <si>
    <t>FORMAÇÃO DO PREÇO</t>
  </si>
  <si>
    <t>Jornada média de horas por semana</t>
  </si>
  <si>
    <t>Jornada (média de horas de trabalho por dia útil)</t>
  </si>
  <si>
    <t>CCT</t>
  </si>
  <si>
    <t>SERVENTE (44h) DIURNO (Seg-Sab)</t>
  </si>
  <si>
    <t>Plano ambulatorial e assistência odontológica</t>
  </si>
  <si>
    <t>Assistência funeral</t>
  </si>
  <si>
    <t>Uniformes</t>
  </si>
  <si>
    <t>Custo da Mão de Obra (total de geral e total por item)</t>
  </si>
  <si>
    <t>Custo médio por hora da Mão de Obra (total de geral e total por item)</t>
  </si>
  <si>
    <t xml:space="preserve">Material e Equipamento </t>
  </si>
  <si>
    <t>1 - Custo da Mão de Obra</t>
  </si>
  <si>
    <t>2 - Custo da Tecnologia</t>
  </si>
  <si>
    <t>4 - Tributos</t>
  </si>
  <si>
    <t>Soma de Tributos</t>
  </si>
  <si>
    <t>Lucro</t>
  </si>
  <si>
    <t>Esquadria/Fachada - Face Externa sem Risco</t>
  </si>
  <si>
    <t>Esquadria/Fachada - Face Externa dos Brises sem Risco</t>
  </si>
  <si>
    <t>Esquadria/Fachada - Face Externa dos Brises com Risco</t>
  </si>
  <si>
    <t>Esquadria/Fachada - Face Externa com Risco</t>
  </si>
  <si>
    <t>Fachada Cega / Empena externa sem risco</t>
  </si>
  <si>
    <t>Fachada Cega/ Empena externa com risco</t>
  </si>
  <si>
    <t>% do total</t>
  </si>
  <si>
    <t>Edificação</t>
  </si>
  <si>
    <t>Pavimento</t>
  </si>
  <si>
    <t>G</t>
  </si>
  <si>
    <t>H</t>
  </si>
  <si>
    <t>I</t>
  </si>
  <si>
    <t>J</t>
  </si>
  <si>
    <t>K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</si>
  <si>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</si>
  <si>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</si>
  <si>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</si>
  <si>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</si>
  <si>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</si>
  <si>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</si>
  <si>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</si>
  <si>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</si>
  <si>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</si>
  <si>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</si>
  <si>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Total</t>
  </si>
  <si>
    <t>Bloco C</t>
  </si>
  <si>
    <t>Subsolo</t>
  </si>
  <si>
    <t>Térreo</t>
  </si>
  <si>
    <t>Sobreloja</t>
  </si>
  <si>
    <t>Bloco F</t>
  </si>
  <si>
    <t>Bloco F - Anexo</t>
  </si>
  <si>
    <t>1º</t>
  </si>
  <si>
    <t>Bloco J</t>
  </si>
  <si>
    <t>Bloco K</t>
  </si>
  <si>
    <t xml:space="preserve">Bloco P - Anexo </t>
  </si>
  <si>
    <t>SAUS Quadra 6</t>
  </si>
  <si>
    <t>SAUS Quadra 3</t>
  </si>
  <si>
    <t>SCS Quadra 1</t>
  </si>
  <si>
    <t>11º</t>
  </si>
  <si>
    <t>12º</t>
  </si>
  <si>
    <t>13º</t>
  </si>
  <si>
    <t>14º</t>
  </si>
  <si>
    <t>Mezanino</t>
  </si>
  <si>
    <t>Térreo 1</t>
  </si>
  <si>
    <t>Térreo 2</t>
  </si>
  <si>
    <t>2º</t>
  </si>
  <si>
    <t>3º</t>
  </si>
  <si>
    <t>SIA Trecho 6</t>
  </si>
  <si>
    <t>Terrraço</t>
  </si>
  <si>
    <t>Galpão - Térreo</t>
  </si>
  <si>
    <t>Galpão - Mezanino</t>
  </si>
  <si>
    <t>SIG Quadra 8</t>
  </si>
  <si>
    <t>Total Geral (m²)</t>
  </si>
  <si>
    <t>Total Geral (%)</t>
  </si>
  <si>
    <t>% IMPACTO HORAS</t>
  </si>
  <si>
    <t>Esquadria/Fachada - Face Externa - Sem Risco</t>
  </si>
  <si>
    <t>Esquadria/Fachada - Face Externa - Com Risco</t>
  </si>
  <si>
    <t>Esquadria/Fachada - Face Externa - Com Brise - Sem Risco</t>
  </si>
  <si>
    <t>Esquadria/Fachada - Face Externa - Com Brise - Com Risco</t>
  </si>
  <si>
    <t>Empena/Fachada Cega - Face Externa - Sem Risco</t>
  </si>
  <si>
    <t>Empena/Fachada Cega - Face Externa - Com Risco</t>
  </si>
  <si>
    <t>4º</t>
  </si>
  <si>
    <t>5º</t>
  </si>
  <si>
    <t>6º</t>
  </si>
  <si>
    <t>7º</t>
  </si>
  <si>
    <t>8ª</t>
  </si>
  <si>
    <t>9º</t>
  </si>
  <si>
    <t>8º</t>
  </si>
  <si>
    <t>1ª</t>
  </si>
  <si>
    <t>4ª</t>
  </si>
  <si>
    <t>2º Subsolo</t>
  </si>
  <si>
    <t>1º Subsolo</t>
  </si>
  <si>
    <t>Bloco O - Anexo</t>
  </si>
  <si>
    <t>Bloco P</t>
  </si>
  <si>
    <t>SAAN Quadra 3</t>
  </si>
  <si>
    <t>SAUN Quadra 5</t>
  </si>
  <si>
    <t>4º Subsolo</t>
  </si>
  <si>
    <t>3º Subsolo</t>
  </si>
  <si>
    <t>10º</t>
  </si>
  <si>
    <t>15º</t>
  </si>
  <si>
    <t>16º</t>
  </si>
  <si>
    <t>17º</t>
  </si>
  <si>
    <t>18º</t>
  </si>
  <si>
    <t>SCS Quadra 8</t>
  </si>
  <si>
    <t>SEPN 516 Bloco D</t>
  </si>
  <si>
    <t>SGMN Bloco C</t>
  </si>
  <si>
    <t>SGMN Bloco J</t>
  </si>
  <si>
    <t>SGON Quadra 1</t>
  </si>
  <si>
    <t>SGON Quadra 5</t>
  </si>
  <si>
    <t>SIA Trecho 2</t>
  </si>
  <si>
    <t>SIA Trecho 3</t>
  </si>
  <si>
    <t>Mão-de-Obra prevista</t>
  </si>
  <si>
    <t>Categoria profissional e jornada</t>
  </si>
  <si>
    <t>Quantidade (média) de dias trabalhados por semana</t>
  </si>
  <si>
    <t>Quantidade (média) de dias úteis trabalhados por mês</t>
  </si>
  <si>
    <t>Quantidade de trabalhadores prevista por mês</t>
  </si>
  <si>
    <t>Horas de trabalho prevista por mês (total geral e total por item)</t>
  </si>
  <si>
    <t>JAUZEIRO (44h)         (FACHADAS) (Seg-Sab)</t>
  </si>
  <si>
    <t>ENCARREGADO (44h) DIURNO (Seg-Sab)</t>
  </si>
  <si>
    <t>Adicional de Insalubridade</t>
  </si>
  <si>
    <t xml:space="preserve">D </t>
  </si>
  <si>
    <t>13º (décimo terceiro) Salário</t>
  </si>
  <si>
    <t>Férias e Adicional de Férias</t>
  </si>
  <si>
    <t>INSS</t>
  </si>
  <si>
    <t>Salário Educação</t>
  </si>
  <si>
    <t>Seguro acidente do trabalho</t>
  </si>
  <si>
    <t>SESI ou SESC</t>
  </si>
  <si>
    <t>SENAI ou SENAC</t>
  </si>
  <si>
    <t>SEBRAE</t>
  </si>
  <si>
    <t>INCRA</t>
  </si>
  <si>
    <t>FGTS</t>
  </si>
  <si>
    <t>Total de Encargos</t>
  </si>
  <si>
    <t>2.1</t>
  </si>
  <si>
    <t>Grupo A - Encargos Sociais Básicos</t>
  </si>
  <si>
    <t>2.2</t>
  </si>
  <si>
    <t>Grupo B - Tempo remunerado e não trabalhado</t>
  </si>
  <si>
    <t>Ausências e licenças legais</t>
  </si>
  <si>
    <t>Aviso Prévio Trabalhado</t>
  </si>
  <si>
    <t>Incidência do Grupo A no Grupo B</t>
  </si>
  <si>
    <t>2.3</t>
  </si>
  <si>
    <t>Aviso Prévio Indenizado (com incidências e multa)</t>
  </si>
  <si>
    <t>Grupo C - Outras obrigações</t>
  </si>
  <si>
    <t>OUTROS (ESPECIFICAR)</t>
  </si>
  <si>
    <t>ESPECIFICAÇÃO</t>
  </si>
  <si>
    <t>QUANTIDADE</t>
  </si>
  <si>
    <t>MARCA</t>
  </si>
  <si>
    <t>VALOR UNITÁRIO</t>
  </si>
  <si>
    <t>VALOR TOTAL           (A)</t>
  </si>
  <si>
    <t xml:space="preserve">INSUMOS MENSAL (C) </t>
  </si>
  <si>
    <t>MESES DE VIDA ÚTIL ESTIMADA (D)</t>
  </si>
  <si>
    <t>MODELO</t>
  </si>
  <si>
    <t>MANUTENÇÃO MENSAL (B)</t>
  </si>
  <si>
    <t>Créditos PIS/COFINS</t>
  </si>
  <si>
    <t>UNIDADE DE MEDIDA</t>
  </si>
  <si>
    <t>VALOR  TOTAL</t>
  </si>
  <si>
    <t>R$/M2</t>
  </si>
  <si>
    <t>3 - LDI (Despesas Indiretas)</t>
  </si>
  <si>
    <t>Custo Mensal</t>
  </si>
  <si>
    <t>Total de serviços sob demanda</t>
  </si>
  <si>
    <t>CUSTOS INDIVIDUAIS (POR EMPREGADO) POR MÊS</t>
  </si>
  <si>
    <r>
      <t xml:space="preserve">SERVENTE (44h) DIURNO (Seg-Sab) </t>
    </r>
    <r>
      <rPr>
        <b/>
        <sz val="10"/>
        <color indexed="10"/>
        <rFont val="Calibri"/>
        <family val="2"/>
      </rPr>
      <t>MP 905/2019</t>
    </r>
  </si>
  <si>
    <r>
      <t xml:space="preserve">JAUZEIRO (44h)         (FACHADAS) (Seg-Sab) </t>
    </r>
    <r>
      <rPr>
        <b/>
        <sz val="10"/>
        <color indexed="10"/>
        <rFont val="Calibri"/>
        <family val="2"/>
      </rPr>
      <t>MP 905/2019</t>
    </r>
  </si>
  <si>
    <t>MATERIAL DE CONSUMO NECESSÁRIA PARA EXECUÇÃO DAS ATIVIDADES SOB DEMANDA</t>
  </si>
  <si>
    <t>TOTAL DE MATERIAIS</t>
  </si>
  <si>
    <t>CUSTO EFETIVO</t>
  </si>
  <si>
    <t>DEPRECIAÇÃO   (E)   (A / D)</t>
  </si>
  <si>
    <t>CUSTO MENSAL (B+C+E)</t>
  </si>
  <si>
    <t>CUSTO PARA EXECUTAR AS ATIVIDADES</t>
  </si>
  <si>
    <t>CUSTO EFETIVO TOTAL</t>
  </si>
  <si>
    <t>TOTAL POR DEMANDA (R$)</t>
  </si>
  <si>
    <t>TOTAL POR M2 (R$)</t>
  </si>
  <si>
    <t>TOTAL ANUAL (ESTIMADO 2X/ANO) (R$)</t>
  </si>
  <si>
    <t>TOTAL CONTRATO (ESTIMADO 6X/34 MESES) (R$)</t>
  </si>
  <si>
    <t>Item</t>
  </si>
  <si>
    <t>Orientação</t>
  </si>
  <si>
    <t>Observar os comentários disponíveis nas células</t>
  </si>
  <si>
    <t>Fazer comentários nas células para explicar memórias de cálculo ou outros elementos da proposta</t>
  </si>
  <si>
    <t>Na aba “M.O.”, compor a força de trabalho conforme cargos e jornadas previstas e seus respectivos custos, de forma a suprir o total de horas necessárias na aba "demanda"</t>
  </si>
  <si>
    <t>Na aba “demanda”, ajustar as produtividades conforme a proposta</t>
  </si>
  <si>
    <t>TOTAL DE HORAS NECESSÁRIAS POR DEMANDA (1X)</t>
  </si>
  <si>
    <t>HORAS NECESSÁRIAS POR DEMANDA (1X)</t>
  </si>
  <si>
    <t>Preencher as abas "Eqto" e "Mat" com todos os insumos necessários à execução dos serviços</t>
  </si>
  <si>
    <t>Na aba "Preço", preencher Despesas Indiretas e Lucro, conforme orientações dos comentários nas respectivas células; ajustar, se for o caso, os tributos</t>
  </si>
  <si>
    <t>Atenção para a metodologia de inserção do lucro: valor (R$) por m2 a ser limpo (área na aba "demanda")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</si>
</sst>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.00"/>
    <numFmt numFmtId="177" formatCode="0.000%"/>
    <numFmt numFmtId="178" formatCode="_(* #,##0.00_);_(* \(#,##0.00\);_(* \-??_);_(@_)"/>
    <numFmt numFmtId="179" formatCode="&quot;R$&quot;\ #,##0.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#,##0.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[$-416]dddd\,\ d&quot; de &quot;mmmm&quot; de &quot;yyyy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0.0%"/>
    <numFmt numFmtId="198" formatCode="_(&quot;R$&quot;* #,##0.0_);_(&quot;R$&quot;* \(#,##0.0\);_(&quot;R$&quot;* &quot;-&quot;_);_(@_)"/>
    <numFmt numFmtId="199" formatCode="_(&quot;R$&quot;* #,##0.00_);_(&quot;R$&quot;* \(#,##0.00\);_(&quot;R$&quot;* &quot;-&quot;_);_(@_)"/>
    <numFmt numFmtId="200" formatCode="_-[$R$-416]\ * #,##0.00_-;\-[$R$-416]\ * #,##0.00_-;_-[$R$-416]\ * &quot;-&quot;??_-;_-@_-"/>
    <numFmt numFmtId="201" formatCode="_(* #,##0.0000_);_(* \(#,##0.0000\);_(* &quot;-&quot;??_);_(@_)"/>
    <numFmt numFmtId="202" formatCode="_(* #,##0.00000_);_(* \(#,##0.00000\);_(* &quot;-&quot;??_);_(@_)"/>
    <numFmt numFmtId="203" formatCode="_-* #,##0.00000_-;\-* #,##0.00000_-;_-* &quot;-&quot;?????_-;_-@_-"/>
    <numFmt numFmtId="204" formatCode="_(* #,##0.000000_);_(* \(#,##0.000000\);_(* &quot;-&quot;??_);_(@_)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indexed="62"/>
      <name val="Arial"/>
      <family val="2"/>
    </font>
    <font>
      <b/>
      <sz val="9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rgb="FF00336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 tint="0.39998000860214233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4"/>
      <name val="Arial"/>
      <family val="2"/>
    </font>
    <font>
      <sz val="10"/>
      <color rgb="FF00B050"/>
      <name val="Arial"/>
      <family val="2"/>
    </font>
    <font>
      <b/>
      <sz val="12"/>
      <color theme="3" tint="0.39998000860214233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4"/>
      <name val="Arial"/>
      <family val="2"/>
    </font>
    <font>
      <b/>
      <sz val="9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3" tint="0.39998000860214233"/>
      <name val="Arial"/>
      <family val="2"/>
    </font>
    <font>
      <b/>
      <sz val="8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>
        <color rgb="FF000000"/>
      </right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/>
      <top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/>
    </border>
    <border>
      <left/>
      <right style="thin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/>
      <right style="medium">
        <color rgb="FF000000"/>
      </right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medium">
        <color rgb="FF000000"/>
      </right>
      <top/>
      <bottom style="medium"/>
    </border>
    <border>
      <left style="medium"/>
      <right/>
      <top/>
      <bottom style="medium"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2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3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5" borderId="1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6" fillId="36" borderId="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6" fillId="37" borderId="3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7" fillId="38" borderId="4" applyNumberFormat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53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53" fillId="4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3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58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172" fontId="52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60" fillId="5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Font="0" applyAlignment="0" applyProtection="0"/>
    <xf numFmtId="0" fontId="3" fillId="53" borderId="8" applyNumberFormat="0" applyFont="0" applyAlignment="0" applyProtection="0"/>
    <xf numFmtId="0" fontId="3" fillId="53" borderId="8" applyNumberFormat="0" applyFont="0" applyAlignment="0" applyProtection="0"/>
    <xf numFmtId="0" fontId="3" fillId="5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62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0" borderId="11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6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69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52" fillId="55" borderId="0" xfId="203" applyFill="1">
      <alignment/>
      <protection/>
    </xf>
    <xf numFmtId="0" fontId="70" fillId="55" borderId="20" xfId="203" applyFont="1" applyFill="1" applyBorder="1" applyAlignment="1">
      <alignment horizontal="center"/>
      <protection/>
    </xf>
    <xf numFmtId="4" fontId="71" fillId="0" borderId="21" xfId="309" applyNumberFormat="1" applyFont="1" applyBorder="1" applyAlignment="1">
      <alignment horizontal="center"/>
    </xf>
    <xf numFmtId="0" fontId="52" fillId="56" borderId="22" xfId="203" applyFill="1" applyBorder="1" applyAlignment="1">
      <alignment horizontal="center"/>
      <protection/>
    </xf>
    <xf numFmtId="0" fontId="52" fillId="56" borderId="23" xfId="203" applyFill="1" applyBorder="1">
      <alignment/>
      <protection/>
    </xf>
    <xf numFmtId="0" fontId="52" fillId="56" borderId="24" xfId="203" applyFill="1" applyBorder="1" applyAlignment="1">
      <alignment horizontal="center"/>
      <protection/>
    </xf>
    <xf numFmtId="0" fontId="52" fillId="56" borderId="25" xfId="203" applyFill="1" applyBorder="1" applyAlignment="1">
      <alignment horizontal="center"/>
      <protection/>
    </xf>
    <xf numFmtId="0" fontId="52" fillId="56" borderId="26" xfId="203" applyFill="1" applyBorder="1" applyAlignment="1">
      <alignment horizontal="center"/>
      <protection/>
    </xf>
    <xf numFmtId="0" fontId="52" fillId="55" borderId="27" xfId="203" applyFill="1" applyBorder="1" applyAlignment="1">
      <alignment horizontal="center"/>
      <protection/>
    </xf>
    <xf numFmtId="0" fontId="52" fillId="55" borderId="28" xfId="203" applyFill="1" applyBorder="1">
      <alignment/>
      <protection/>
    </xf>
    <xf numFmtId="4" fontId="52" fillId="55" borderId="29" xfId="309" applyNumberFormat="1" applyFont="1" applyFill="1" applyBorder="1" applyAlignment="1">
      <alignment/>
    </xf>
    <xf numFmtId="4" fontId="52" fillId="55" borderId="30" xfId="309" applyNumberFormat="1" applyFont="1" applyFill="1" applyBorder="1" applyAlignment="1">
      <alignment/>
    </xf>
    <xf numFmtId="0" fontId="52" fillId="55" borderId="31" xfId="203" applyFill="1" applyBorder="1" applyAlignment="1">
      <alignment horizontal="center"/>
      <protection/>
    </xf>
    <xf numFmtId="0" fontId="52" fillId="55" borderId="32" xfId="203" applyFill="1" applyBorder="1">
      <alignment/>
      <protection/>
    </xf>
    <xf numFmtId="9" fontId="52" fillId="0" borderId="33" xfId="230" applyFont="1" applyBorder="1" applyAlignment="1">
      <alignment horizontal="center"/>
    </xf>
    <xf numFmtId="4" fontId="52" fillId="55" borderId="21" xfId="309" applyNumberFormat="1" applyFont="1" applyFill="1" applyBorder="1" applyAlignment="1">
      <alignment/>
    </xf>
    <xf numFmtId="4" fontId="52" fillId="55" borderId="34" xfId="309" applyNumberFormat="1" applyFont="1" applyFill="1" applyBorder="1" applyAlignment="1">
      <alignment/>
    </xf>
    <xf numFmtId="0" fontId="52" fillId="55" borderId="35" xfId="203" applyFill="1" applyBorder="1" applyAlignment="1">
      <alignment horizontal="center"/>
      <protection/>
    </xf>
    <xf numFmtId="4" fontId="52" fillId="55" borderId="36" xfId="309" applyNumberFormat="1" applyFont="1" applyFill="1" applyBorder="1" applyAlignment="1">
      <alignment/>
    </xf>
    <xf numFmtId="0" fontId="52" fillId="55" borderId="0" xfId="203" applyFill="1" applyAlignment="1">
      <alignment horizontal="center"/>
      <protection/>
    </xf>
    <xf numFmtId="2" fontId="71" fillId="0" borderId="28" xfId="203" applyNumberFormat="1" applyFont="1" applyBorder="1" applyAlignment="1" applyProtection="1">
      <alignment horizontal="center"/>
      <protection locked="0"/>
    </xf>
    <xf numFmtId="4" fontId="52" fillId="55" borderId="34" xfId="308" applyNumberFormat="1" applyFont="1" applyFill="1" applyBorder="1" applyAlignment="1">
      <alignment/>
    </xf>
    <xf numFmtId="4" fontId="52" fillId="55" borderId="37" xfId="309" applyNumberFormat="1" applyFont="1" applyFill="1" applyBorder="1" applyAlignment="1">
      <alignment/>
    </xf>
    <xf numFmtId="4" fontId="52" fillId="55" borderId="33" xfId="309" applyNumberFormat="1" applyFont="1" applyFill="1" applyBorder="1" applyAlignment="1">
      <alignment/>
    </xf>
    <xf numFmtId="0" fontId="52" fillId="56" borderId="24" xfId="203" applyFill="1" applyBorder="1">
      <alignment/>
      <protection/>
    </xf>
    <xf numFmtId="0" fontId="72" fillId="0" borderId="0" xfId="203" applyFont="1">
      <alignment/>
      <protection/>
    </xf>
    <xf numFmtId="0" fontId="72" fillId="55" borderId="0" xfId="203" applyFont="1" applyFill="1">
      <alignment/>
      <protection/>
    </xf>
    <xf numFmtId="43" fontId="72" fillId="0" borderId="32" xfId="203" applyNumberFormat="1" applyFont="1" applyBorder="1" applyAlignment="1">
      <alignment horizontal="center" vertical="center"/>
      <protection/>
    </xf>
    <xf numFmtId="0" fontId="26" fillId="57" borderId="32" xfId="0" applyFont="1" applyFill="1" applyBorder="1" applyAlignment="1" applyProtection="1">
      <alignment vertical="center" wrapText="1"/>
      <protection locked="0"/>
    </xf>
    <xf numFmtId="0" fontId="26" fillId="57" borderId="32" xfId="0" applyFont="1" applyFill="1" applyBorder="1" applyAlignment="1" applyProtection="1">
      <alignment horizontal="center" vertical="center" wrapText="1"/>
      <protection locked="0"/>
    </xf>
    <xf numFmtId="0" fontId="27" fillId="57" borderId="3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70" fillId="55" borderId="38" xfId="203" applyFont="1" applyFill="1" applyBorder="1" applyAlignment="1">
      <alignment horizontal="center"/>
      <protection/>
    </xf>
    <xf numFmtId="4" fontId="71" fillId="0" borderId="39" xfId="309" applyNumberFormat="1" applyFont="1" applyBorder="1" applyAlignment="1">
      <alignment horizontal="center"/>
    </xf>
    <xf numFmtId="0" fontId="29" fillId="55" borderId="39" xfId="203" applyFont="1" applyFill="1" applyBorder="1" applyAlignment="1">
      <alignment horizontal="center" vertical="center" wrapText="1"/>
      <protection/>
    </xf>
    <xf numFmtId="0" fontId="52" fillId="55" borderId="40" xfId="203" applyFill="1" applyBorder="1" applyAlignment="1">
      <alignment horizontal="center"/>
      <protection/>
    </xf>
    <xf numFmtId="0" fontId="52" fillId="55" borderId="41" xfId="203" applyFill="1" applyBorder="1" applyAlignment="1">
      <alignment horizontal="center"/>
      <protection/>
    </xf>
    <xf numFmtId="0" fontId="52" fillId="55" borderId="41" xfId="203" applyFill="1" applyBorder="1" applyAlignment="1">
      <alignment horizontal="center" vertical="center"/>
      <protection/>
    </xf>
    <xf numFmtId="0" fontId="27" fillId="0" borderId="32" xfId="0" applyFont="1" applyBorder="1" applyAlignment="1" applyProtection="1">
      <alignment/>
      <protection locked="0"/>
    </xf>
    <xf numFmtId="0" fontId="21" fillId="0" borderId="32" xfId="0" applyFont="1" applyBorder="1" applyAlignment="1" applyProtection="1">
      <alignment/>
      <protection locked="0"/>
    </xf>
    <xf numFmtId="3" fontId="73" fillId="58" borderId="32" xfId="0" applyNumberFormat="1" applyFont="1" applyFill="1" applyBorder="1" applyAlignment="1">
      <alignment vertical="center"/>
    </xf>
    <xf numFmtId="9" fontId="27" fillId="0" borderId="32" xfId="223" applyFont="1" applyBorder="1" applyAlignment="1" applyProtection="1">
      <alignment/>
      <protection locked="0"/>
    </xf>
    <xf numFmtId="0" fontId="52" fillId="55" borderId="32" xfId="203" applyNumberFormat="1" applyFill="1" applyBorder="1" applyAlignment="1">
      <alignment horizontal="center"/>
      <protection/>
    </xf>
    <xf numFmtId="0" fontId="52" fillId="55" borderId="32" xfId="304" applyNumberFormat="1" applyFont="1" applyFill="1" applyBorder="1" applyAlignment="1">
      <alignment horizontal="center"/>
    </xf>
    <xf numFmtId="3" fontId="52" fillId="55" borderId="32" xfId="203" applyNumberFormat="1" applyFill="1" applyBorder="1" applyAlignment="1">
      <alignment horizontal="center"/>
      <protection/>
    </xf>
    <xf numFmtId="14" fontId="52" fillId="55" borderId="32" xfId="203" applyNumberFormat="1" applyFill="1" applyBorder="1" applyAlignment="1">
      <alignment horizontal="center"/>
      <protection/>
    </xf>
    <xf numFmtId="0" fontId="52" fillId="55" borderId="32" xfId="203" applyFill="1" applyBorder="1" applyAlignment="1">
      <alignment/>
      <protection/>
    </xf>
    <xf numFmtId="3" fontId="70" fillId="55" borderId="32" xfId="203" applyNumberFormat="1" applyFont="1" applyFill="1" applyBorder="1" applyAlignment="1">
      <alignment/>
      <protection/>
    </xf>
    <xf numFmtId="196" fontId="22" fillId="0" borderId="0" xfId="304" applyNumberFormat="1" applyFont="1" applyAlignment="1" applyProtection="1">
      <alignment/>
      <protection locked="0"/>
    </xf>
    <xf numFmtId="4" fontId="52" fillId="55" borderId="42" xfId="309" applyNumberFormat="1" applyFont="1" applyFill="1" applyBorder="1" applyAlignment="1">
      <alignment horizontal="center"/>
    </xf>
    <xf numFmtId="175" fontId="70" fillId="55" borderId="32" xfId="170" applyFont="1" applyFill="1" applyBorder="1" applyAlignment="1">
      <alignment/>
    </xf>
    <xf numFmtId="175" fontId="52" fillId="55" borderId="32" xfId="170" applyFont="1" applyFill="1" applyBorder="1" applyAlignment="1">
      <alignment horizontal="center"/>
    </xf>
    <xf numFmtId="9" fontId="72" fillId="0" borderId="0" xfId="223" applyFont="1" applyFill="1" applyBorder="1" applyAlignment="1">
      <alignment/>
    </xf>
    <xf numFmtId="0" fontId="72" fillId="0" borderId="0" xfId="203" applyFont="1" applyFill="1" applyBorder="1">
      <alignment/>
      <protection/>
    </xf>
    <xf numFmtId="9" fontId="72" fillId="0" borderId="0" xfId="223" applyFont="1" applyAlignment="1">
      <alignment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173" fontId="72" fillId="0" borderId="0" xfId="304" applyFont="1" applyAlignment="1">
      <alignment/>
    </xf>
    <xf numFmtId="2" fontId="52" fillId="55" borderId="32" xfId="203" applyNumberFormat="1" applyFill="1" applyBorder="1" applyAlignment="1">
      <alignment horizontal="center"/>
      <protection/>
    </xf>
    <xf numFmtId="0" fontId="74" fillId="0" borderId="32" xfId="0" applyFont="1" applyBorder="1" applyAlignment="1">
      <alignment vertical="center"/>
    </xf>
    <xf numFmtId="3" fontId="74" fillId="58" borderId="32" xfId="0" applyNumberFormat="1" applyFont="1" applyFill="1" applyBorder="1" applyAlignment="1">
      <alignment vertical="center"/>
    </xf>
    <xf numFmtId="196" fontId="74" fillId="0" borderId="32" xfId="304" applyNumberFormat="1" applyFont="1" applyBorder="1" applyAlignment="1" applyProtection="1">
      <alignment/>
      <protection locked="0"/>
    </xf>
    <xf numFmtId="9" fontId="74" fillId="0" borderId="32" xfId="223" applyFont="1" applyBorder="1" applyAlignment="1" applyProtection="1">
      <alignment/>
      <protection locked="0"/>
    </xf>
    <xf numFmtId="0" fontId="75" fillId="0" borderId="32" xfId="0" applyFont="1" applyBorder="1" applyAlignment="1">
      <alignment vertical="center"/>
    </xf>
    <xf numFmtId="3" fontId="75" fillId="58" borderId="32" xfId="0" applyNumberFormat="1" applyFont="1" applyFill="1" applyBorder="1" applyAlignment="1">
      <alignment vertical="center"/>
    </xf>
    <xf numFmtId="196" fontId="75" fillId="0" borderId="32" xfId="304" applyNumberFormat="1" applyFont="1" applyBorder="1" applyAlignment="1" applyProtection="1">
      <alignment/>
      <protection locked="0"/>
    </xf>
    <xf numFmtId="9" fontId="75" fillId="0" borderId="32" xfId="223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72" fillId="0" borderId="0" xfId="203" applyFont="1" applyBorder="1">
      <alignment/>
      <protection/>
    </xf>
    <xf numFmtId="0" fontId="23" fillId="55" borderId="0" xfId="203" applyFont="1" applyFill="1" applyBorder="1">
      <alignment/>
      <protection/>
    </xf>
    <xf numFmtId="173" fontId="23" fillId="55" borderId="0" xfId="306" applyFont="1" applyFill="1" applyBorder="1" applyAlignment="1">
      <alignment/>
    </xf>
    <xf numFmtId="0" fontId="72" fillId="55" borderId="0" xfId="203" applyFont="1" applyFill="1" applyBorder="1">
      <alignment/>
      <protection/>
    </xf>
    <xf numFmtId="10" fontId="76" fillId="58" borderId="0" xfId="234" applyNumberFormat="1" applyFont="1" applyFill="1" applyBorder="1" applyAlignment="1">
      <alignment horizontal="center"/>
    </xf>
    <xf numFmtId="4" fontId="72" fillId="55" borderId="0" xfId="308" applyNumberFormat="1" applyFont="1" applyFill="1" applyBorder="1" applyAlignment="1">
      <alignment horizontal="right"/>
    </xf>
    <xf numFmtId="197" fontId="72" fillId="0" borderId="0" xfId="223" applyNumberFormat="1" applyFont="1" applyBorder="1" applyAlignment="1">
      <alignment/>
    </xf>
    <xf numFmtId="10" fontId="72" fillId="58" borderId="0" xfId="234" applyNumberFormat="1" applyFont="1" applyFill="1" applyBorder="1" applyAlignment="1">
      <alignment horizontal="center"/>
    </xf>
    <xf numFmtId="0" fontId="72" fillId="58" borderId="0" xfId="203" applyFont="1" applyFill="1" applyBorder="1">
      <alignment/>
      <protection/>
    </xf>
    <xf numFmtId="43" fontId="72" fillId="0" borderId="0" xfId="203" applyNumberFormat="1" applyFont="1" applyBorder="1">
      <alignment/>
      <protection/>
    </xf>
    <xf numFmtId="0" fontId="77" fillId="0" borderId="0" xfId="203" applyFont="1" applyBorder="1" applyAlignment="1">
      <alignment horizontal="center"/>
      <protection/>
    </xf>
    <xf numFmtId="10" fontId="72" fillId="0" borderId="0" xfId="223" applyNumberFormat="1" applyFont="1" applyBorder="1" applyAlignment="1">
      <alignment/>
    </xf>
    <xf numFmtId="173" fontId="23" fillId="58" borderId="0" xfId="306" applyFont="1" applyFill="1" applyBorder="1" applyAlignment="1">
      <alignment/>
    </xf>
    <xf numFmtId="0" fontId="78" fillId="55" borderId="43" xfId="203" applyFont="1" applyFill="1" applyBorder="1">
      <alignment/>
      <protection/>
    </xf>
    <xf numFmtId="4" fontId="78" fillId="55" borderId="36" xfId="309" applyNumberFormat="1" applyFont="1" applyFill="1" applyBorder="1" applyAlignment="1">
      <alignment/>
    </xf>
    <xf numFmtId="4" fontId="79" fillId="20" borderId="25" xfId="0" applyNumberFormat="1" applyFont="1" applyFill="1" applyBorder="1" applyAlignment="1">
      <alignment/>
    </xf>
    <xf numFmtId="10" fontId="79" fillId="59" borderId="25" xfId="0" applyNumberFormat="1" applyFont="1" applyFill="1" applyBorder="1" applyAlignment="1">
      <alignment horizontal="center"/>
    </xf>
    <xf numFmtId="4" fontId="80" fillId="0" borderId="0" xfId="0" applyNumberFormat="1" applyFont="1" applyAlignment="1">
      <alignment wrapText="1"/>
    </xf>
    <xf numFmtId="0" fontId="80" fillId="0" borderId="0" xfId="0" applyFont="1" applyAlignment="1">
      <alignment/>
    </xf>
    <xf numFmtId="10" fontId="80" fillId="0" borderId="0" xfId="0" applyNumberFormat="1" applyFont="1" applyAlignment="1">
      <alignment/>
    </xf>
    <xf numFmtId="4" fontId="80" fillId="0" borderId="0" xfId="0" applyNumberFormat="1" applyFont="1" applyAlignment="1">
      <alignment/>
    </xf>
    <xf numFmtId="0" fontId="81" fillId="55" borderId="21" xfId="203" applyFont="1" applyFill="1" applyBorder="1" applyAlignment="1">
      <alignment horizontal="center" vertical="center" wrapText="1"/>
      <protection/>
    </xf>
    <xf numFmtId="0" fontId="52" fillId="55" borderId="32" xfId="203" applyFill="1" applyBorder="1" applyAlignment="1">
      <alignment horizontal="center"/>
      <protection/>
    </xf>
    <xf numFmtId="0" fontId="79" fillId="60" borderId="44" xfId="0" applyFont="1" applyFill="1" applyBorder="1" applyAlignment="1">
      <alignment horizontal="center" vertical="center"/>
    </xf>
    <xf numFmtId="0" fontId="82" fillId="60" borderId="44" xfId="0" applyFont="1" applyFill="1" applyBorder="1" applyAlignment="1">
      <alignment horizontal="center" vertical="center"/>
    </xf>
    <xf numFmtId="0" fontId="82" fillId="0" borderId="45" xfId="0" applyFont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 wrapText="1"/>
    </xf>
    <xf numFmtId="187" fontId="83" fillId="0" borderId="32" xfId="0" applyNumberFormat="1" applyFont="1" applyFill="1" applyBorder="1" applyAlignment="1">
      <alignment horizontal="right" vertical="center"/>
    </xf>
    <xf numFmtId="187" fontId="80" fillId="0" borderId="32" xfId="0" applyNumberFormat="1" applyFont="1" applyFill="1" applyBorder="1" applyAlignment="1">
      <alignment horizontal="right" vertical="center"/>
    </xf>
    <xf numFmtId="0" fontId="82" fillId="0" borderId="47" xfId="0" applyFont="1" applyBorder="1" applyAlignment="1">
      <alignment horizontal="center" vertical="center" wrapText="1"/>
    </xf>
    <xf numFmtId="2" fontId="79" fillId="60" borderId="48" xfId="0" applyNumberFormat="1" applyFont="1" applyFill="1" applyBorder="1" applyAlignment="1">
      <alignment horizontal="center" vertical="center"/>
    </xf>
    <xf numFmtId="0" fontId="79" fillId="0" borderId="45" xfId="0" applyFont="1" applyBorder="1" applyAlignment="1">
      <alignment horizontal="center" vertical="center"/>
    </xf>
    <xf numFmtId="0" fontId="79" fillId="60" borderId="49" xfId="0" applyFont="1" applyFill="1" applyBorder="1" applyAlignment="1">
      <alignment horizontal="center" vertical="center"/>
    </xf>
    <xf numFmtId="2" fontId="79" fillId="60" borderId="50" xfId="0" applyNumberFormat="1" applyFont="1" applyFill="1" applyBorder="1" applyAlignment="1">
      <alignment horizontal="center" vertical="center"/>
    </xf>
    <xf numFmtId="187" fontId="80" fillId="0" borderId="51" xfId="0" applyNumberFormat="1" applyFont="1" applyFill="1" applyBorder="1" applyAlignment="1">
      <alignment horizontal="right" vertical="center"/>
    </xf>
    <xf numFmtId="0" fontId="82" fillId="0" borderId="52" xfId="0" applyFont="1" applyBorder="1" applyAlignment="1">
      <alignment horizontal="center" vertical="center" wrapText="1"/>
    </xf>
    <xf numFmtId="187" fontId="80" fillId="0" borderId="53" xfId="0" applyNumberFormat="1" applyFont="1" applyFill="1" applyBorder="1" applyAlignment="1">
      <alignment horizontal="right" vertical="center"/>
    </xf>
    <xf numFmtId="2" fontId="79" fillId="60" borderId="54" xfId="0" applyNumberFormat="1" applyFont="1" applyFill="1" applyBorder="1" applyAlignment="1">
      <alignment horizontal="center" vertical="center"/>
    </xf>
    <xf numFmtId="2" fontId="79" fillId="0" borderId="20" xfId="0" applyNumberFormat="1" applyFont="1" applyFill="1" applyBorder="1" applyAlignment="1">
      <alignment horizontal="center" vertical="center"/>
    </xf>
    <xf numFmtId="187" fontId="80" fillId="0" borderId="55" xfId="0" applyNumberFormat="1" applyFont="1" applyFill="1" applyBorder="1" applyAlignment="1">
      <alignment horizontal="right" vertical="center"/>
    </xf>
    <xf numFmtId="2" fontId="79" fillId="0" borderId="21" xfId="0" applyNumberFormat="1" applyFont="1" applyFill="1" applyBorder="1" applyAlignment="1">
      <alignment horizontal="center" vertical="center"/>
    </xf>
    <xf numFmtId="2" fontId="79" fillId="0" borderId="56" xfId="0" applyNumberFormat="1" applyFont="1" applyFill="1" applyBorder="1" applyAlignment="1">
      <alignment horizontal="center" vertical="center"/>
    </xf>
    <xf numFmtId="187" fontId="80" fillId="0" borderId="57" xfId="0" applyNumberFormat="1" applyFont="1" applyFill="1" applyBorder="1" applyAlignment="1">
      <alignment horizontal="right" vertical="center"/>
    </xf>
    <xf numFmtId="2" fontId="79" fillId="60" borderId="25" xfId="0" applyNumberFormat="1" applyFont="1" applyFill="1" applyBorder="1" applyAlignment="1">
      <alignment horizontal="center" vertical="center"/>
    </xf>
    <xf numFmtId="4" fontId="82" fillId="0" borderId="58" xfId="0" applyNumberFormat="1" applyFont="1" applyBorder="1" applyAlignment="1">
      <alignment horizontal="center" vertical="center" wrapText="1"/>
    </xf>
    <xf numFmtId="4" fontId="79" fillId="0" borderId="46" xfId="0" applyNumberFormat="1" applyFont="1" applyBorder="1" applyAlignment="1">
      <alignment horizontal="center" vertical="center"/>
    </xf>
    <xf numFmtId="4" fontId="82" fillId="0" borderId="46" xfId="0" applyNumberFormat="1" applyFont="1" applyBorder="1" applyAlignment="1">
      <alignment horizontal="center" vertical="center" wrapText="1"/>
    </xf>
    <xf numFmtId="4" fontId="82" fillId="0" borderId="52" xfId="0" applyNumberFormat="1" applyFont="1" applyBorder="1" applyAlignment="1">
      <alignment horizontal="center" vertical="center" wrapText="1"/>
    </xf>
    <xf numFmtId="4" fontId="79" fillId="60" borderId="44" xfId="0" applyNumberFormat="1" applyFont="1" applyFill="1" applyBorder="1" applyAlignment="1">
      <alignment horizontal="center" vertical="center"/>
    </xf>
    <xf numFmtId="0" fontId="79" fillId="60" borderId="54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187" fontId="80" fillId="0" borderId="43" xfId="0" applyNumberFormat="1" applyFont="1" applyFill="1" applyBorder="1" applyAlignment="1">
      <alignment horizontal="right" vertical="center"/>
    </xf>
    <xf numFmtId="0" fontId="79" fillId="59" borderId="60" xfId="0" applyFont="1" applyFill="1" applyBorder="1" applyAlignment="1">
      <alignment horizontal="center" vertical="center"/>
    </xf>
    <xf numFmtId="187" fontId="79" fillId="59" borderId="61" xfId="0" applyNumberFormat="1" applyFont="1" applyFill="1" applyBorder="1" applyAlignment="1">
      <alignment horizontal="right" vertical="center"/>
    </xf>
    <xf numFmtId="0" fontId="79" fillId="0" borderId="20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79" fillId="0" borderId="56" xfId="0" applyFont="1" applyBorder="1" applyAlignment="1">
      <alignment horizontal="center" vertical="center"/>
    </xf>
    <xf numFmtId="0" fontId="79" fillId="59" borderId="25" xfId="0" applyFont="1" applyFill="1" applyBorder="1" applyAlignment="1">
      <alignment horizontal="center" vertical="center"/>
    </xf>
    <xf numFmtId="187" fontId="79" fillId="59" borderId="28" xfId="0" applyNumberFormat="1" applyFont="1" applyFill="1" applyBorder="1" applyAlignment="1">
      <alignment horizontal="right" vertical="center"/>
    </xf>
    <xf numFmtId="0" fontId="82" fillId="0" borderId="62" xfId="0" applyFont="1" applyBorder="1" applyAlignment="1">
      <alignment horizontal="center" vertical="center" wrapText="1"/>
    </xf>
    <xf numFmtId="0" fontId="79" fillId="0" borderId="63" xfId="0" applyFont="1" applyBorder="1" applyAlignment="1">
      <alignment horizontal="center" vertical="center"/>
    </xf>
    <xf numFmtId="0" fontId="82" fillId="0" borderId="63" xfId="0" applyFont="1" applyBorder="1" applyAlignment="1">
      <alignment horizontal="center" vertical="center" wrapText="1"/>
    </xf>
    <xf numFmtId="0" fontId="82" fillId="0" borderId="64" xfId="0" applyFont="1" applyBorder="1" applyAlignment="1">
      <alignment horizontal="center" vertical="center" wrapText="1"/>
    </xf>
    <xf numFmtId="0" fontId="82" fillId="0" borderId="65" xfId="0" applyFont="1" applyBorder="1" applyAlignment="1">
      <alignment horizontal="center" vertical="center" wrapText="1"/>
    </xf>
    <xf numFmtId="0" fontId="79" fillId="0" borderId="66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 wrapText="1"/>
    </xf>
    <xf numFmtId="0" fontId="82" fillId="0" borderId="67" xfId="0" applyFont="1" applyBorder="1" applyAlignment="1">
      <alignment horizontal="center" vertical="center" wrapText="1"/>
    </xf>
    <xf numFmtId="2" fontId="79" fillId="60" borderId="68" xfId="0" applyNumberFormat="1" applyFont="1" applyFill="1" applyBorder="1" applyAlignment="1">
      <alignment horizontal="center" vertical="center"/>
    </xf>
    <xf numFmtId="0" fontId="82" fillId="0" borderId="69" xfId="0" applyFont="1" applyBorder="1" applyAlignment="1">
      <alignment horizontal="center" vertical="center" wrapText="1"/>
    </xf>
    <xf numFmtId="2" fontId="79" fillId="60" borderId="49" xfId="0" applyNumberFormat="1" applyFont="1" applyFill="1" applyBorder="1" applyAlignment="1">
      <alignment horizontal="center" vertical="center"/>
    </xf>
    <xf numFmtId="2" fontId="79" fillId="0" borderId="22" xfId="0" applyNumberFormat="1" applyFont="1" applyFill="1" applyBorder="1" applyAlignment="1">
      <alignment horizontal="center" vertical="center"/>
    </xf>
    <xf numFmtId="187" fontId="80" fillId="0" borderId="23" xfId="0" applyNumberFormat="1" applyFont="1" applyFill="1" applyBorder="1" applyAlignment="1">
      <alignment horizontal="right" vertical="center"/>
    </xf>
    <xf numFmtId="2" fontId="79" fillId="60" borderId="70" xfId="0" applyNumberFormat="1" applyFont="1" applyFill="1" applyBorder="1" applyAlignment="1">
      <alignment horizontal="center" vertical="center"/>
    </xf>
    <xf numFmtId="4" fontId="79" fillId="0" borderId="20" xfId="0" applyNumberFormat="1" applyFont="1" applyBorder="1" applyAlignment="1">
      <alignment horizontal="center" vertical="center"/>
    </xf>
    <xf numFmtId="4" fontId="82" fillId="61" borderId="21" xfId="0" applyNumberFormat="1" applyFont="1" applyFill="1" applyBorder="1" applyAlignment="1">
      <alignment horizontal="center" vertical="center"/>
    </xf>
    <xf numFmtId="4" fontId="82" fillId="58" borderId="21" xfId="0" applyNumberFormat="1" applyFont="1" applyFill="1" applyBorder="1" applyAlignment="1">
      <alignment horizontal="center" vertical="center" wrapText="1"/>
    </xf>
    <xf numFmtId="4" fontId="82" fillId="0" borderId="21" xfId="0" applyNumberFormat="1" applyFont="1" applyBorder="1" applyAlignment="1">
      <alignment horizontal="center" vertical="center" wrapText="1"/>
    </xf>
    <xf numFmtId="4" fontId="82" fillId="0" borderId="56" xfId="0" applyNumberFormat="1" applyFont="1" applyBorder="1" applyAlignment="1">
      <alignment horizontal="center" vertical="center" wrapText="1"/>
    </xf>
    <xf numFmtId="4" fontId="79" fillId="60" borderId="25" xfId="0" applyNumberFormat="1" applyFont="1" applyFill="1" applyBorder="1" applyAlignment="1">
      <alignment horizontal="center" vertical="center"/>
    </xf>
    <xf numFmtId="0" fontId="79" fillId="0" borderId="71" xfId="0" applyFont="1" applyBorder="1" applyAlignment="1">
      <alignment horizontal="center" vertical="center"/>
    </xf>
    <xf numFmtId="0" fontId="79" fillId="0" borderId="50" xfId="0" applyFont="1" applyBorder="1" applyAlignment="1">
      <alignment horizontal="center" vertical="center"/>
    </xf>
    <xf numFmtId="2" fontId="79" fillId="60" borderId="72" xfId="0" applyNumberFormat="1" applyFont="1" applyFill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2" fontId="79" fillId="60" borderId="75" xfId="0" applyNumberFormat="1" applyFont="1" applyFill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2" fontId="79" fillId="60" borderId="77" xfId="0" applyNumberFormat="1" applyFont="1" applyFill="1" applyBorder="1" applyAlignment="1">
      <alignment horizontal="center" vertical="center"/>
    </xf>
    <xf numFmtId="0" fontId="79" fillId="0" borderId="78" xfId="0" applyFont="1" applyBorder="1" applyAlignment="1">
      <alignment horizontal="center" vertical="center"/>
    </xf>
    <xf numFmtId="2" fontId="79" fillId="60" borderId="79" xfId="0" applyNumberFormat="1" applyFont="1" applyFill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2" fontId="79" fillId="60" borderId="81" xfId="0" applyNumberFormat="1" applyFont="1" applyFill="1" applyBorder="1" applyAlignment="1">
      <alignment horizontal="center" vertical="center"/>
    </xf>
    <xf numFmtId="0" fontId="82" fillId="62" borderId="49" xfId="0" applyFont="1" applyFill="1" applyBorder="1" applyAlignment="1">
      <alignment horizontal="center" vertical="center" textRotation="90" wrapText="1"/>
    </xf>
    <xf numFmtId="3" fontId="70" fillId="55" borderId="32" xfId="203" applyNumberFormat="1" applyFont="1" applyFill="1" applyBorder="1" applyAlignment="1" applyProtection="1">
      <alignment/>
      <protection/>
    </xf>
    <xf numFmtId="0" fontId="52" fillId="55" borderId="82" xfId="203" applyFill="1" applyBorder="1" applyAlignment="1">
      <alignment horizontal="center"/>
      <protection/>
    </xf>
    <xf numFmtId="0" fontId="52" fillId="55" borderId="57" xfId="203" applyFill="1" applyBorder="1">
      <alignment/>
      <protection/>
    </xf>
    <xf numFmtId="9" fontId="52" fillId="0" borderId="83" xfId="230" applyFont="1" applyBorder="1" applyAlignment="1">
      <alignment horizontal="center"/>
    </xf>
    <xf numFmtId="4" fontId="52" fillId="55" borderId="56" xfId="309" applyNumberFormat="1" applyFont="1" applyFill="1" applyBorder="1" applyAlignment="1">
      <alignment/>
    </xf>
    <xf numFmtId="0" fontId="52" fillId="55" borderId="0" xfId="203" applyFill="1" applyBorder="1" applyAlignment="1">
      <alignment horizontal="center"/>
      <protection/>
    </xf>
    <xf numFmtId="0" fontId="52" fillId="55" borderId="0" xfId="203" applyFill="1" applyBorder="1">
      <alignment/>
      <protection/>
    </xf>
    <xf numFmtId="10" fontId="71" fillId="0" borderId="0" xfId="230" applyNumberFormat="1" applyFont="1" applyBorder="1" applyAlignment="1">
      <alignment horizontal="center"/>
    </xf>
    <xf numFmtId="4" fontId="52" fillId="55" borderId="0" xfId="203" applyNumberFormat="1" applyFill="1" applyBorder="1">
      <alignment/>
      <protection/>
    </xf>
    <xf numFmtId="4" fontId="52" fillId="55" borderId="32" xfId="203" applyNumberFormat="1" applyFill="1" applyBorder="1">
      <alignment/>
      <protection/>
    </xf>
    <xf numFmtId="4" fontId="52" fillId="55" borderId="84" xfId="203" applyNumberFormat="1" applyFill="1" applyBorder="1">
      <alignment/>
      <protection/>
    </xf>
    <xf numFmtId="0" fontId="52" fillId="55" borderId="32" xfId="203" applyFont="1" applyFill="1" applyBorder="1">
      <alignment/>
      <protection/>
    </xf>
    <xf numFmtId="0" fontId="48" fillId="0" borderId="32" xfId="0" applyFont="1" applyBorder="1" applyAlignment="1">
      <alignment horizontal="justify" vertical="center" wrapText="1"/>
    </xf>
    <xf numFmtId="9" fontId="48" fillId="63" borderId="32" xfId="0" applyNumberFormat="1" applyFont="1" applyFill="1" applyBorder="1" applyAlignment="1">
      <alignment horizontal="center" vertical="center"/>
    </xf>
    <xf numFmtId="10" fontId="48" fillId="63" borderId="32" xfId="0" applyNumberFormat="1" applyFont="1" applyFill="1" applyBorder="1" applyAlignment="1">
      <alignment horizontal="center" vertical="center"/>
    </xf>
    <xf numFmtId="10" fontId="31" fillId="0" borderId="32" xfId="230" applyNumberFormat="1" applyFont="1" applyBorder="1" applyAlignment="1">
      <alignment horizontal="center"/>
    </xf>
    <xf numFmtId="0" fontId="52" fillId="55" borderId="31" xfId="203" applyFont="1" applyFill="1" applyBorder="1" applyAlignment="1">
      <alignment horizontal="center"/>
      <protection/>
    </xf>
    <xf numFmtId="4" fontId="52" fillId="55" borderId="34" xfId="203" applyNumberFormat="1" applyFill="1" applyBorder="1">
      <alignment/>
      <protection/>
    </xf>
    <xf numFmtId="0" fontId="48" fillId="63" borderId="31" xfId="0" applyFont="1" applyFill="1" applyBorder="1" applyAlignment="1">
      <alignment horizontal="center" vertical="center"/>
    </xf>
    <xf numFmtId="10" fontId="71" fillId="0" borderId="43" xfId="230" applyNumberFormat="1" applyFont="1" applyBorder="1" applyAlignment="1">
      <alignment horizontal="center"/>
    </xf>
    <xf numFmtId="0" fontId="52" fillId="55" borderId="27" xfId="203" applyFont="1" applyFill="1" applyBorder="1" applyAlignment="1">
      <alignment horizontal="center"/>
      <protection/>
    </xf>
    <xf numFmtId="0" fontId="52" fillId="55" borderId="28" xfId="203" applyFont="1" applyFill="1" applyBorder="1">
      <alignment/>
      <protection/>
    </xf>
    <xf numFmtId="10" fontId="31" fillId="0" borderId="28" xfId="230" applyNumberFormat="1" applyFont="1" applyBorder="1" applyAlignment="1">
      <alignment horizontal="center"/>
    </xf>
    <xf numFmtId="173" fontId="71" fillId="0" borderId="43" xfId="304" applyFont="1" applyBorder="1" applyAlignment="1">
      <alignment horizontal="center"/>
    </xf>
    <xf numFmtId="173" fontId="78" fillId="55" borderId="59" xfId="304" applyFont="1" applyFill="1" applyBorder="1" applyAlignment="1">
      <alignment/>
    </xf>
    <xf numFmtId="0" fontId="52" fillId="64" borderId="85" xfId="203" applyFill="1" applyBorder="1" applyAlignment="1">
      <alignment horizontal="center"/>
      <protection/>
    </xf>
    <xf numFmtId="0" fontId="52" fillId="64" borderId="86" xfId="203" applyFill="1" applyBorder="1">
      <alignment/>
      <protection/>
    </xf>
    <xf numFmtId="197" fontId="52" fillId="64" borderId="86" xfId="203" applyNumberFormat="1" applyFill="1" applyBorder="1" applyAlignment="1">
      <alignment horizontal="center"/>
      <protection/>
    </xf>
    <xf numFmtId="0" fontId="52" fillId="64" borderId="0" xfId="203" applyFill="1" applyBorder="1" applyAlignment="1">
      <alignment horizontal="center"/>
      <protection/>
    </xf>
    <xf numFmtId="0" fontId="52" fillId="64" borderId="87" xfId="203" applyFill="1" applyBorder="1" applyAlignment="1">
      <alignment horizontal="center"/>
      <protection/>
    </xf>
    <xf numFmtId="0" fontId="48" fillId="65" borderId="27" xfId="0" applyFont="1" applyFill="1" applyBorder="1" applyAlignment="1">
      <alignment horizontal="center" vertical="center"/>
    </xf>
    <xf numFmtId="0" fontId="48" fillId="64" borderId="28" xfId="0" applyFont="1" applyFill="1" applyBorder="1" applyAlignment="1">
      <alignment horizontal="justify" vertical="center" wrapText="1"/>
    </xf>
    <xf numFmtId="9" fontId="48" fillId="65" borderId="28" xfId="0" applyNumberFormat="1" applyFont="1" applyFill="1" applyBorder="1" applyAlignment="1">
      <alignment horizontal="center" vertical="center"/>
    </xf>
    <xf numFmtId="4" fontId="52" fillId="64" borderId="32" xfId="203" applyNumberFormat="1" applyFill="1" applyBorder="1">
      <alignment/>
      <protection/>
    </xf>
    <xf numFmtId="10" fontId="31" fillId="0" borderId="32" xfId="230" applyNumberFormat="1" applyFont="1" applyBorder="1" applyAlignment="1">
      <alignment horizontal="center"/>
    </xf>
    <xf numFmtId="10" fontId="52" fillId="55" borderId="32" xfId="203" applyNumberFormat="1" applyFill="1" applyBorder="1" applyAlignment="1">
      <alignment horizontal="center"/>
      <protection/>
    </xf>
    <xf numFmtId="4" fontId="52" fillId="64" borderId="34" xfId="203" applyNumberFormat="1" applyFill="1" applyBorder="1">
      <alignment/>
      <protection/>
    </xf>
    <xf numFmtId="0" fontId="52" fillId="64" borderId="32" xfId="203" applyFill="1" applyBorder="1">
      <alignment/>
      <protection/>
    </xf>
    <xf numFmtId="197" fontId="52" fillId="55" borderId="32" xfId="223" applyNumberFormat="1" applyFont="1" applyFill="1" applyBorder="1" applyAlignment="1">
      <alignment horizontal="center"/>
    </xf>
    <xf numFmtId="9" fontId="52" fillId="64" borderId="32" xfId="223" applyFont="1" applyFill="1" applyBorder="1" applyAlignment="1">
      <alignment horizontal="center"/>
    </xf>
    <xf numFmtId="2" fontId="71" fillId="0" borderId="32" xfId="203" applyNumberFormat="1" applyFont="1" applyBorder="1" applyAlignment="1" applyProtection="1">
      <alignment horizontal="center"/>
      <protection locked="0"/>
    </xf>
    <xf numFmtId="4" fontId="52" fillId="55" borderId="32" xfId="308" applyNumberFormat="1" applyFont="1" applyFill="1" applyBorder="1" applyAlignment="1">
      <alignment/>
    </xf>
    <xf numFmtId="4" fontId="52" fillId="55" borderId="32" xfId="309" applyNumberFormat="1" applyFont="1" applyFill="1" applyBorder="1" applyAlignment="1">
      <alignment/>
    </xf>
    <xf numFmtId="10" fontId="71" fillId="0" borderId="32" xfId="234" applyNumberFormat="1" applyFont="1" applyBorder="1" applyAlignment="1" applyProtection="1">
      <alignment horizontal="center"/>
      <protection locked="0"/>
    </xf>
    <xf numFmtId="4" fontId="31" fillId="55" borderId="32" xfId="309" applyNumberFormat="1" applyFont="1" applyFill="1" applyBorder="1" applyAlignment="1">
      <alignment/>
    </xf>
    <xf numFmtId="4" fontId="52" fillId="55" borderId="43" xfId="309" applyNumberFormat="1" applyFont="1" applyFill="1" applyBorder="1" applyAlignment="1">
      <alignment/>
    </xf>
    <xf numFmtId="4" fontId="52" fillId="55" borderId="28" xfId="308" applyNumberFormat="1" applyFont="1" applyFill="1" applyBorder="1" applyAlignment="1">
      <alignment/>
    </xf>
    <xf numFmtId="4" fontId="52" fillId="55" borderId="30" xfId="308" applyNumberFormat="1" applyFont="1" applyFill="1" applyBorder="1" applyAlignment="1">
      <alignment/>
    </xf>
    <xf numFmtId="0" fontId="52" fillId="64" borderId="31" xfId="203" applyFill="1" applyBorder="1" applyAlignment="1">
      <alignment horizontal="center"/>
      <protection/>
    </xf>
    <xf numFmtId="4" fontId="52" fillId="55" borderId="28" xfId="309" applyNumberFormat="1" applyFont="1" applyFill="1" applyBorder="1" applyAlignment="1">
      <alignment/>
    </xf>
    <xf numFmtId="0" fontId="81" fillId="66" borderId="21" xfId="203" applyFont="1" applyFill="1" applyBorder="1" applyAlignment="1">
      <alignment horizontal="center" vertical="center" wrapText="1"/>
      <protection/>
    </xf>
    <xf numFmtId="14" fontId="52" fillId="66" borderId="32" xfId="203" applyNumberFormat="1" applyFill="1" applyBorder="1" applyAlignment="1">
      <alignment horizontal="center"/>
      <protection/>
    </xf>
    <xf numFmtId="0" fontId="52" fillId="66" borderId="32" xfId="203" applyNumberFormat="1" applyFill="1" applyBorder="1" applyAlignment="1">
      <alignment horizontal="center"/>
      <protection/>
    </xf>
    <xf numFmtId="2" fontId="52" fillId="66" borderId="32" xfId="203" applyNumberFormat="1" applyFill="1" applyBorder="1" applyAlignment="1">
      <alignment horizontal="center"/>
      <protection/>
    </xf>
    <xf numFmtId="0" fontId="52" fillId="66" borderId="32" xfId="304" applyNumberFormat="1" applyFont="1" applyFill="1" applyBorder="1" applyAlignment="1">
      <alignment horizontal="center"/>
    </xf>
    <xf numFmtId="3" fontId="52" fillId="66" borderId="32" xfId="203" applyNumberFormat="1" applyFill="1" applyBorder="1" applyAlignment="1">
      <alignment horizontal="center"/>
      <protection/>
    </xf>
    <xf numFmtId="1" fontId="52" fillId="55" borderId="32" xfId="304" applyNumberFormat="1" applyFont="1" applyFill="1" applyBorder="1" applyAlignment="1">
      <alignment horizontal="center"/>
    </xf>
    <xf numFmtId="0" fontId="32" fillId="0" borderId="32" xfId="0" applyFont="1" applyBorder="1" applyAlignment="1">
      <alignment horizontal="justify" vertical="center" wrapText="1"/>
    </xf>
    <xf numFmtId="0" fontId="32" fillId="0" borderId="32" xfId="0" applyFont="1" applyBorder="1" applyAlignment="1">
      <alignment horizontal="center" vertical="center" wrapText="1"/>
    </xf>
    <xf numFmtId="173" fontId="36" fillId="0" borderId="32" xfId="304" applyFont="1" applyBorder="1" applyAlignment="1">
      <alignment horizontal="center" vertical="center" wrapText="1"/>
    </xf>
    <xf numFmtId="0" fontId="32" fillId="0" borderId="57" xfId="0" applyFont="1" applyBorder="1" applyAlignment="1">
      <alignment vertical="center" wrapText="1"/>
    </xf>
    <xf numFmtId="0" fontId="32" fillId="0" borderId="57" xfId="0" applyFont="1" applyBorder="1" applyAlignment="1">
      <alignment horizontal="center" vertical="center" wrapText="1"/>
    </xf>
    <xf numFmtId="173" fontId="36" fillId="0" borderId="57" xfId="304" applyFont="1" applyBorder="1" applyAlignment="1">
      <alignment horizontal="center" vertical="center" wrapText="1"/>
    </xf>
    <xf numFmtId="0" fontId="32" fillId="0" borderId="32" xfId="0" applyFont="1" applyBorder="1" applyAlignment="1">
      <alignment vertical="center" wrapText="1"/>
    </xf>
    <xf numFmtId="10" fontId="71" fillId="12" borderId="32" xfId="234" applyNumberFormat="1" applyFont="1" applyFill="1" applyBorder="1" applyAlignment="1" applyProtection="1">
      <alignment horizontal="center"/>
      <protection locked="0"/>
    </xf>
    <xf numFmtId="0" fontId="32" fillId="0" borderId="31" xfId="0" applyFont="1" applyBorder="1" applyAlignment="1">
      <alignment horizontal="justify" vertical="center" wrapText="1"/>
    </xf>
    <xf numFmtId="173" fontId="36" fillId="0" borderId="34" xfId="304" applyFont="1" applyBorder="1" applyAlignment="1">
      <alignment horizontal="center" vertical="center" wrapText="1"/>
    </xf>
    <xf numFmtId="0" fontId="32" fillId="0" borderId="82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4" fontId="31" fillId="12" borderId="34" xfId="309" applyNumberFormat="1" applyFont="1" applyFill="1" applyBorder="1" applyAlignment="1">
      <alignment/>
    </xf>
    <xf numFmtId="43" fontId="0" fillId="57" borderId="88" xfId="0" applyNumberFormat="1" applyFill="1" applyBorder="1" applyAlignment="1">
      <alignment/>
    </xf>
    <xf numFmtId="43" fontId="0" fillId="18" borderId="37" xfId="0" applyNumberFormat="1" applyFill="1" applyBorder="1" applyAlignment="1">
      <alignment/>
    </xf>
    <xf numFmtId="0" fontId="34" fillId="20" borderId="31" xfId="0" applyFont="1" applyFill="1" applyBorder="1" applyAlignment="1">
      <alignment horizontal="center" vertical="center" wrapText="1"/>
    </xf>
    <xf numFmtId="0" fontId="34" fillId="20" borderId="32" xfId="0" applyFont="1" applyFill="1" applyBorder="1" applyAlignment="1">
      <alignment horizontal="center" vertical="center" wrapText="1"/>
    </xf>
    <xf numFmtId="0" fontId="84" fillId="20" borderId="32" xfId="0" applyFont="1" applyFill="1" applyBorder="1" applyAlignment="1">
      <alignment horizontal="center" vertical="center" wrapText="1"/>
    </xf>
    <xf numFmtId="0" fontId="84" fillId="20" borderId="34" xfId="0" applyFont="1" applyFill="1" applyBorder="1" applyAlignment="1">
      <alignment horizontal="center" vertical="center" wrapText="1"/>
    </xf>
    <xf numFmtId="3" fontId="74" fillId="58" borderId="0" xfId="0" applyNumberFormat="1" applyFont="1" applyFill="1" applyBorder="1" applyAlignment="1">
      <alignment vertical="center"/>
    </xf>
    <xf numFmtId="9" fontId="74" fillId="0" borderId="0" xfId="223" applyFont="1" applyBorder="1" applyAlignment="1" applyProtection="1">
      <alignment/>
      <protection locked="0"/>
    </xf>
    <xf numFmtId="0" fontId="85" fillId="0" borderId="0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3" fontId="85" fillId="58" borderId="32" xfId="0" applyNumberFormat="1" applyFont="1" applyFill="1" applyBorder="1" applyAlignment="1">
      <alignment vertical="center"/>
    </xf>
    <xf numFmtId="196" fontId="85" fillId="0" borderId="32" xfId="304" applyNumberFormat="1" applyFont="1" applyBorder="1" applyAlignment="1" applyProtection="1">
      <alignment/>
      <protection locked="0"/>
    </xf>
    <xf numFmtId="187" fontId="83" fillId="0" borderId="55" xfId="0" applyNumberFormat="1" applyFont="1" applyFill="1" applyBorder="1" applyAlignment="1">
      <alignment horizontal="right" vertical="center"/>
    </xf>
    <xf numFmtId="187" fontId="83" fillId="0" borderId="43" xfId="0" applyNumberFormat="1" applyFont="1" applyFill="1" applyBorder="1" applyAlignment="1">
      <alignment horizontal="right" vertical="center"/>
    </xf>
    <xf numFmtId="187" fontId="83" fillId="0" borderId="51" xfId="0" applyNumberFormat="1" applyFont="1" applyFill="1" applyBorder="1" applyAlignment="1">
      <alignment horizontal="right" vertical="center"/>
    </xf>
    <xf numFmtId="187" fontId="80" fillId="0" borderId="89" xfId="0" applyNumberFormat="1" applyFont="1" applyFill="1" applyBorder="1" applyAlignment="1">
      <alignment horizontal="right" vertical="center"/>
    </xf>
    <xf numFmtId="187" fontId="83" fillId="0" borderId="89" xfId="0" applyNumberFormat="1" applyFont="1" applyFill="1" applyBorder="1" applyAlignment="1">
      <alignment horizontal="right" vertical="center"/>
    </xf>
    <xf numFmtId="187" fontId="80" fillId="0" borderId="90" xfId="0" applyNumberFormat="1" applyFont="1" applyFill="1" applyBorder="1" applyAlignment="1">
      <alignment horizontal="right" vertical="center"/>
    </xf>
    <xf numFmtId="187" fontId="83" fillId="0" borderId="90" xfId="0" applyNumberFormat="1" applyFont="1" applyFill="1" applyBorder="1" applyAlignment="1">
      <alignment horizontal="right" vertical="center"/>
    </xf>
    <xf numFmtId="187" fontId="80" fillId="0" borderId="91" xfId="0" applyNumberFormat="1" applyFont="1" applyFill="1" applyBorder="1" applyAlignment="1">
      <alignment horizontal="right" vertical="center"/>
    </xf>
    <xf numFmtId="187" fontId="32" fillId="0" borderId="55" xfId="0" applyNumberFormat="1" applyFont="1" applyFill="1" applyBorder="1" applyAlignment="1">
      <alignment horizontal="right" vertical="center"/>
    </xf>
    <xf numFmtId="187" fontId="32" fillId="0" borderId="32" xfId="0" applyNumberFormat="1" applyFont="1" applyFill="1" applyBorder="1" applyAlignment="1">
      <alignment horizontal="right" vertical="center"/>
    </xf>
    <xf numFmtId="187" fontId="32" fillId="0" borderId="32" xfId="0" applyNumberFormat="1" applyFont="1" applyFill="1" applyBorder="1" applyAlignment="1">
      <alignment horizontal="right"/>
    </xf>
    <xf numFmtId="187" fontId="32" fillId="0" borderId="43" xfId="0" applyNumberFormat="1" applyFont="1" applyFill="1" applyBorder="1" applyAlignment="1">
      <alignment horizontal="right"/>
    </xf>
    <xf numFmtId="187" fontId="80" fillId="0" borderId="92" xfId="0" applyNumberFormat="1" applyFont="1" applyFill="1" applyBorder="1" applyAlignment="1">
      <alignment horizontal="right" vertical="center"/>
    </xf>
    <xf numFmtId="187" fontId="80" fillId="0" borderId="76" xfId="0" applyNumberFormat="1" applyFont="1" applyFill="1" applyBorder="1" applyAlignment="1">
      <alignment horizontal="right" vertical="center"/>
    </xf>
    <xf numFmtId="187" fontId="79" fillId="59" borderId="49" xfId="0" applyNumberFormat="1" applyFont="1" applyFill="1" applyBorder="1" applyAlignment="1">
      <alignment horizontal="right" vertical="center"/>
    </xf>
    <xf numFmtId="187" fontId="79" fillId="59" borderId="48" xfId="0" applyNumberFormat="1" applyFont="1" applyFill="1" applyBorder="1" applyAlignment="1">
      <alignment horizontal="right" vertical="center"/>
    </xf>
    <xf numFmtId="187" fontId="79" fillId="59" borderId="20" xfId="0" applyNumberFormat="1" applyFont="1" applyFill="1" applyBorder="1" applyAlignment="1">
      <alignment horizontal="right" vertical="center"/>
    </xf>
    <xf numFmtId="187" fontId="79" fillId="59" borderId="21" xfId="0" applyNumberFormat="1" applyFont="1" applyFill="1" applyBorder="1" applyAlignment="1">
      <alignment horizontal="right" vertical="center"/>
    </xf>
    <xf numFmtId="187" fontId="86" fillId="59" borderId="21" xfId="0" applyNumberFormat="1" applyFont="1" applyFill="1" applyBorder="1" applyAlignment="1">
      <alignment horizontal="right" vertical="center"/>
    </xf>
    <xf numFmtId="187" fontId="79" fillId="59" borderId="59" xfId="0" applyNumberFormat="1" applyFont="1" applyFill="1" applyBorder="1" applyAlignment="1">
      <alignment horizontal="right" vertical="center"/>
    </xf>
    <xf numFmtId="187" fontId="79" fillId="59" borderId="56" xfId="0" applyNumberFormat="1" applyFont="1" applyFill="1" applyBorder="1" applyAlignment="1">
      <alignment horizontal="right" vertical="center"/>
    </xf>
    <xf numFmtId="187" fontId="79" fillId="59" borderId="93" xfId="0" applyNumberFormat="1" applyFont="1" applyFill="1" applyBorder="1" applyAlignment="1">
      <alignment horizontal="right" vertical="center"/>
    </xf>
    <xf numFmtId="187" fontId="79" fillId="59" borderId="25" xfId="0" applyNumberFormat="1" applyFont="1" applyFill="1" applyBorder="1" applyAlignment="1">
      <alignment horizontal="right" vertical="center"/>
    </xf>
    <xf numFmtId="187" fontId="79" fillId="59" borderId="94" xfId="0" applyNumberFormat="1" applyFont="1" applyFill="1" applyBorder="1" applyAlignment="1">
      <alignment horizontal="right" vertical="center"/>
    </xf>
    <xf numFmtId="187" fontId="79" fillId="59" borderId="68" xfId="0" applyNumberFormat="1" applyFont="1" applyFill="1" applyBorder="1" applyAlignment="1">
      <alignment horizontal="right" vertical="center"/>
    </xf>
    <xf numFmtId="187" fontId="79" fillId="59" borderId="29" xfId="0" applyNumberFormat="1" applyFont="1" applyFill="1" applyBorder="1" applyAlignment="1">
      <alignment horizontal="right" vertical="center"/>
    </xf>
    <xf numFmtId="187" fontId="79" fillId="59" borderId="72" xfId="0" applyNumberFormat="1" applyFont="1" applyFill="1" applyBorder="1" applyAlignment="1">
      <alignment horizontal="right" vertical="center"/>
    </xf>
    <xf numFmtId="187" fontId="79" fillId="59" borderId="38" xfId="0" applyNumberFormat="1" applyFont="1" applyFill="1" applyBorder="1" applyAlignment="1">
      <alignment horizontal="right" vertical="center"/>
    </xf>
    <xf numFmtId="187" fontId="79" fillId="59" borderId="95" xfId="0" applyNumberFormat="1" applyFont="1" applyFill="1" applyBorder="1" applyAlignment="1">
      <alignment horizontal="right" vertical="center"/>
    </xf>
    <xf numFmtId="187" fontId="79" fillId="59" borderId="96" xfId="0" applyNumberFormat="1" applyFont="1" applyFill="1" applyBorder="1" applyAlignment="1">
      <alignment horizontal="right" vertical="center"/>
    </xf>
    <xf numFmtId="187" fontId="79" fillId="59" borderId="97" xfId="0" applyNumberFormat="1" applyFont="1" applyFill="1" applyBorder="1" applyAlignment="1">
      <alignment horizontal="right" vertical="center"/>
    </xf>
    <xf numFmtId="187" fontId="79" fillId="59" borderId="79" xfId="0" applyNumberFormat="1" applyFont="1" applyFill="1" applyBorder="1" applyAlignment="1">
      <alignment horizontal="right" vertical="center"/>
    </xf>
    <xf numFmtId="187" fontId="79" fillId="59" borderId="98" xfId="0" applyNumberFormat="1" applyFont="1" applyFill="1" applyBorder="1" applyAlignment="1">
      <alignment horizontal="right" vertical="center"/>
    </xf>
    <xf numFmtId="187" fontId="79" fillId="59" borderId="77" xfId="0" applyNumberFormat="1" applyFont="1" applyFill="1" applyBorder="1" applyAlignment="1">
      <alignment horizontal="right" vertical="center"/>
    </xf>
    <xf numFmtId="187" fontId="79" fillId="59" borderId="89" xfId="0" applyNumberFormat="1" applyFont="1" applyFill="1" applyBorder="1" applyAlignment="1">
      <alignment horizontal="right" vertical="center"/>
    </xf>
    <xf numFmtId="187" fontId="79" fillId="59" borderId="50" xfId="0" applyNumberFormat="1" applyFont="1" applyFill="1" applyBorder="1" applyAlignment="1">
      <alignment horizontal="right" vertical="center"/>
    </xf>
    <xf numFmtId="3" fontId="85" fillId="58" borderId="0" xfId="0" applyNumberFormat="1" applyFont="1" applyFill="1" applyBorder="1" applyAlignment="1">
      <alignment vertical="center"/>
    </xf>
    <xf numFmtId="196" fontId="85" fillId="0" borderId="0" xfId="304" applyNumberFormat="1" applyFont="1" applyBorder="1" applyAlignment="1" applyProtection="1">
      <alignment/>
      <protection locked="0"/>
    </xf>
    <xf numFmtId="4" fontId="52" fillId="55" borderId="28" xfId="309" applyNumberFormat="1" applyFont="1" applyFill="1" applyBorder="1" applyAlignment="1">
      <alignment horizontal="center"/>
    </xf>
    <xf numFmtId="9" fontId="85" fillId="0" borderId="32" xfId="223" applyFont="1" applyBorder="1" applyAlignment="1" applyProtection="1">
      <alignment/>
      <protection locked="0"/>
    </xf>
    <xf numFmtId="0" fontId="27" fillId="67" borderId="32" xfId="0" applyFont="1" applyFill="1" applyBorder="1" applyAlignment="1">
      <alignment horizontal="center" vertical="center" wrapText="1"/>
    </xf>
    <xf numFmtId="0" fontId="73" fillId="67" borderId="32" xfId="0" applyFont="1" applyFill="1" applyBorder="1" applyAlignment="1">
      <alignment horizontal="center" vertical="center" wrapText="1"/>
    </xf>
    <xf numFmtId="0" fontId="73" fillId="67" borderId="3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justify" vertical="center" wrapText="1"/>
    </xf>
    <xf numFmtId="0" fontId="87" fillId="0" borderId="32" xfId="0" applyFont="1" applyBorder="1" applyAlignment="1">
      <alignment horizontal="justify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58" borderId="32" xfId="0" applyFont="1" applyFill="1" applyBorder="1" applyAlignment="1">
      <alignment horizontal="center" vertical="center" wrapText="1"/>
    </xf>
    <xf numFmtId="173" fontId="0" fillId="0" borderId="84" xfId="304" applyFont="1" applyBorder="1" applyAlignment="1" applyProtection="1">
      <alignment horizontal="center" vertical="center" wrapText="1"/>
      <protection locked="0"/>
    </xf>
    <xf numFmtId="173" fontId="0" fillId="0" borderId="32" xfId="304" applyFont="1" applyBorder="1" applyAlignment="1" applyProtection="1">
      <alignment horizontal="center" vertical="center" wrapText="1"/>
      <protection locked="0"/>
    </xf>
    <xf numFmtId="3" fontId="0" fillId="0" borderId="84" xfId="263" applyNumberFormat="1" applyFont="1" applyBorder="1" applyAlignment="1" applyProtection="1">
      <alignment horizontal="center" vertical="center" wrapText="1"/>
      <protection locked="0"/>
    </xf>
    <xf numFmtId="173" fontId="0" fillId="0" borderId="33" xfId="304" applyFont="1" applyBorder="1" applyAlignment="1" applyProtection="1">
      <alignment horizontal="center" vertical="center"/>
      <protection locked="0"/>
    </xf>
    <xf numFmtId="173" fontId="0" fillId="0" borderId="32" xfId="304" applyFont="1" applyBorder="1" applyAlignment="1">
      <alignment/>
    </xf>
    <xf numFmtId="173" fontId="0" fillId="0" borderId="32" xfId="304" applyFont="1" applyBorder="1" applyAlignment="1">
      <alignment horizontal="justify" vertical="center" wrapText="1"/>
    </xf>
    <xf numFmtId="173" fontId="0" fillId="58" borderId="84" xfId="304" applyFont="1" applyFill="1" applyBorder="1" applyAlignment="1" applyProtection="1">
      <alignment horizontal="center" vertical="center" wrapText="1"/>
      <protection locked="0"/>
    </xf>
    <xf numFmtId="173" fontId="27" fillId="57" borderId="32" xfId="304" applyFont="1" applyFill="1" applyBorder="1" applyAlignment="1">
      <alignment horizontal="right" vertical="center" wrapText="1"/>
    </xf>
    <xf numFmtId="10" fontId="88" fillId="12" borderId="32" xfId="234" applyNumberFormat="1" applyFont="1" applyFill="1" applyBorder="1" applyAlignment="1" applyProtection="1">
      <alignment horizontal="center"/>
      <protection locked="0"/>
    </xf>
    <xf numFmtId="4" fontId="0" fillId="12" borderId="32" xfId="309" applyNumberFormat="1" applyFont="1" applyFill="1" applyBorder="1" applyAlignment="1">
      <alignment/>
    </xf>
    <xf numFmtId="173" fontId="27" fillId="27" borderId="32" xfId="304" applyFont="1" applyFill="1" applyBorder="1" applyAlignment="1">
      <alignment horizontal="right" vertical="center" wrapText="1"/>
    </xf>
    <xf numFmtId="0" fontId="76" fillId="58" borderId="0" xfId="304" applyNumberFormat="1" applyFont="1" applyFill="1" applyBorder="1" applyAlignment="1">
      <alignment horizontal="center"/>
    </xf>
    <xf numFmtId="4" fontId="52" fillId="55" borderId="33" xfId="203" applyNumberFormat="1" applyFill="1" applyBorder="1">
      <alignment/>
      <protection/>
    </xf>
    <xf numFmtId="4" fontId="52" fillId="64" borderId="33" xfId="203" applyNumberFormat="1" applyFill="1" applyBorder="1">
      <alignment/>
      <protection/>
    </xf>
    <xf numFmtId="4" fontId="52" fillId="55" borderId="42" xfId="308" applyNumberFormat="1" applyFont="1" applyFill="1" applyBorder="1" applyAlignment="1">
      <alignment/>
    </xf>
    <xf numFmtId="4" fontId="52" fillId="55" borderId="33" xfId="308" applyNumberFormat="1" applyFont="1" applyFill="1" applyBorder="1" applyAlignment="1">
      <alignment/>
    </xf>
    <xf numFmtId="4" fontId="52" fillId="55" borderId="42" xfId="309" applyNumberFormat="1" applyFont="1" applyFill="1" applyBorder="1" applyAlignment="1">
      <alignment/>
    </xf>
    <xf numFmtId="0" fontId="52" fillId="55" borderId="0" xfId="203" applyFill="1" applyBorder="1" applyAlignment="1">
      <alignment/>
      <protection/>
    </xf>
    <xf numFmtId="3" fontId="52" fillId="55" borderId="0" xfId="203" applyNumberFormat="1" applyFill="1" applyBorder="1" applyAlignment="1">
      <alignment horizontal="center"/>
      <protection/>
    </xf>
    <xf numFmtId="0" fontId="70" fillId="55" borderId="0" xfId="203" applyFont="1" applyFill="1" applyBorder="1" applyAlignment="1">
      <alignment/>
      <protection/>
    </xf>
    <xf numFmtId="3" fontId="70" fillId="0" borderId="0" xfId="203" applyNumberFormat="1" applyFont="1" applyFill="1" applyBorder="1" applyAlignment="1" applyProtection="1">
      <alignment/>
      <protection/>
    </xf>
    <xf numFmtId="0" fontId="29" fillId="18" borderId="39" xfId="203" applyFont="1" applyFill="1" applyBorder="1" applyAlignment="1">
      <alignment horizontal="center" vertical="center" wrapText="1"/>
      <protection/>
    </xf>
    <xf numFmtId="0" fontId="81" fillId="18" borderId="21" xfId="203" applyFont="1" applyFill="1" applyBorder="1" applyAlignment="1">
      <alignment horizontal="center" vertical="center" wrapText="1"/>
      <protection/>
    </xf>
    <xf numFmtId="0" fontId="73" fillId="67" borderId="99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43" fontId="72" fillId="0" borderId="32" xfId="203" applyNumberFormat="1" applyFont="1" applyBorder="1">
      <alignment/>
      <protection/>
    </xf>
    <xf numFmtId="4" fontId="79" fillId="0" borderId="44" xfId="0" applyNumberFormat="1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4" fontId="79" fillId="0" borderId="72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102" xfId="0" applyFont="1" applyBorder="1" applyAlignment="1">
      <alignment horizontal="center" vertical="center"/>
    </xf>
    <xf numFmtId="4" fontId="79" fillId="0" borderId="49" xfId="0" applyNumberFormat="1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vertical="center"/>
    </xf>
    <xf numFmtId="0" fontId="32" fillId="0" borderId="97" xfId="0" applyFont="1" applyBorder="1" applyAlignment="1">
      <alignment vertical="center"/>
    </xf>
    <xf numFmtId="4" fontId="79" fillId="60" borderId="94" xfId="0" applyNumberFormat="1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79" fillId="60" borderId="104" xfId="0" applyFont="1" applyFill="1" applyBorder="1" applyAlignment="1">
      <alignment horizontal="center" vertical="center"/>
    </xf>
    <xf numFmtId="0" fontId="79" fillId="60" borderId="61" xfId="0" applyFont="1" applyFill="1" applyBorder="1" applyAlignment="1">
      <alignment horizontal="center" vertical="center"/>
    </xf>
    <xf numFmtId="4" fontId="82" fillId="0" borderId="44" xfId="0" applyNumberFormat="1" applyFont="1" applyBorder="1" applyAlignment="1">
      <alignment horizontal="center" vertical="center" wrapText="1"/>
    </xf>
    <xf numFmtId="4" fontId="79" fillId="0" borderId="48" xfId="0" applyNumberFormat="1" applyFont="1" applyBorder="1" applyAlignment="1">
      <alignment horizontal="center" vertical="center" wrapText="1"/>
    </xf>
    <xf numFmtId="4" fontId="79" fillId="0" borderId="104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" fontId="79" fillId="59" borderId="107" xfId="0" applyNumberFormat="1" applyFont="1" applyFill="1" applyBorder="1" applyAlignment="1">
      <alignment horizontal="center"/>
    </xf>
    <xf numFmtId="4" fontId="79" fillId="59" borderId="97" xfId="0" applyNumberFormat="1" applyFont="1" applyFill="1" applyBorder="1" applyAlignment="1">
      <alignment horizontal="center"/>
    </xf>
    <xf numFmtId="0" fontId="79" fillId="59" borderId="107" xfId="0" applyFont="1" applyFill="1" applyBorder="1" applyAlignment="1">
      <alignment horizontal="center"/>
    </xf>
    <xf numFmtId="0" fontId="79" fillId="59" borderId="97" xfId="0" applyFont="1" applyFill="1" applyBorder="1" applyAlignment="1">
      <alignment horizontal="center"/>
    </xf>
    <xf numFmtId="4" fontId="79" fillId="0" borderId="94" xfId="0" applyNumberFormat="1" applyFont="1" applyBorder="1" applyAlignment="1">
      <alignment horizontal="center" vertical="center" wrapText="1"/>
    </xf>
    <xf numFmtId="4" fontId="79" fillId="0" borderId="105" xfId="0" applyNumberFormat="1" applyFont="1" applyFill="1" applyBorder="1" applyAlignment="1">
      <alignment horizontal="center" vertical="center" wrapText="1"/>
    </xf>
    <xf numFmtId="0" fontId="32" fillId="0" borderId="105" xfId="0" applyFont="1" applyFill="1" applyBorder="1" applyAlignment="1">
      <alignment horizontal="center" vertical="center"/>
    </xf>
    <xf numFmtId="0" fontId="32" fillId="0" borderId="108" xfId="0" applyFont="1" applyFill="1" applyBorder="1" applyAlignment="1">
      <alignment horizontal="center" vertical="center"/>
    </xf>
    <xf numFmtId="0" fontId="52" fillId="55" borderId="32" xfId="203" applyFill="1" applyBorder="1" applyAlignment="1">
      <alignment horizontal="left" vertical="center"/>
      <protection/>
    </xf>
    <xf numFmtId="0" fontId="52" fillId="55" borderId="34" xfId="203" applyFill="1" applyBorder="1" applyAlignment="1">
      <alignment horizontal="left" vertical="center"/>
      <protection/>
    </xf>
    <xf numFmtId="0" fontId="52" fillId="55" borderId="32" xfId="203" applyFill="1" applyBorder="1" applyAlignment="1">
      <alignment horizontal="left"/>
      <protection/>
    </xf>
    <xf numFmtId="0" fontId="52" fillId="55" borderId="33" xfId="203" applyFill="1" applyBorder="1" applyAlignment="1">
      <alignment horizontal="left"/>
      <protection/>
    </xf>
    <xf numFmtId="0" fontId="52" fillId="55" borderId="109" xfId="203" applyFill="1" applyBorder="1" applyAlignment="1">
      <alignment horizontal="left"/>
      <protection/>
    </xf>
    <xf numFmtId="0" fontId="52" fillId="55" borderId="84" xfId="203" applyFill="1" applyBorder="1" applyAlignment="1">
      <alignment horizontal="left"/>
      <protection/>
    </xf>
    <xf numFmtId="0" fontId="70" fillId="55" borderId="110" xfId="203" applyFont="1" applyFill="1" applyBorder="1" applyAlignment="1">
      <alignment horizontal="left" vertical="center"/>
      <protection/>
    </xf>
    <xf numFmtId="0" fontId="70" fillId="0" borderId="110" xfId="203" applyFont="1" applyBorder="1" applyAlignment="1">
      <alignment horizontal="left" vertical="center"/>
      <protection/>
    </xf>
    <xf numFmtId="0" fontId="52" fillId="55" borderId="35" xfId="203" applyFill="1" applyBorder="1" applyAlignment="1">
      <alignment horizontal="left"/>
      <protection/>
    </xf>
    <xf numFmtId="0" fontId="52" fillId="55" borderId="43" xfId="203" applyFill="1" applyBorder="1" applyAlignment="1">
      <alignment horizontal="left"/>
      <protection/>
    </xf>
    <xf numFmtId="0" fontId="70" fillId="55" borderId="0" xfId="203" applyFont="1" applyFill="1" applyBorder="1" applyAlignment="1">
      <alignment horizontal="left"/>
      <protection/>
    </xf>
    <xf numFmtId="0" fontId="28" fillId="57" borderId="102" xfId="203" applyFont="1" applyFill="1" applyBorder="1" applyAlignment="1">
      <alignment horizontal="center"/>
      <protection/>
    </xf>
    <xf numFmtId="0" fontId="28" fillId="57" borderId="110" xfId="203" applyFont="1" applyFill="1" applyBorder="1" applyAlignment="1">
      <alignment horizontal="center"/>
      <protection/>
    </xf>
    <xf numFmtId="0" fontId="28" fillId="57" borderId="111" xfId="203" applyFont="1" applyFill="1" applyBorder="1" applyAlignment="1">
      <alignment horizontal="center"/>
      <protection/>
    </xf>
    <xf numFmtId="0" fontId="70" fillId="55" borderId="0" xfId="203" applyFont="1" applyFill="1" applyAlignment="1">
      <alignment horizontal="left" vertical="center"/>
      <protection/>
    </xf>
    <xf numFmtId="0" fontId="70" fillId="0" borderId="0" xfId="203" applyFont="1" applyAlignment="1">
      <alignment horizontal="left" vertical="center"/>
      <protection/>
    </xf>
    <xf numFmtId="0" fontId="52" fillId="55" borderId="55" xfId="203" applyFill="1" applyBorder="1" applyAlignment="1">
      <alignment horizontal="left"/>
      <protection/>
    </xf>
    <xf numFmtId="0" fontId="52" fillId="55" borderId="88" xfId="203" applyFill="1" applyBorder="1" applyAlignment="1">
      <alignment horizontal="left"/>
      <protection/>
    </xf>
    <xf numFmtId="0" fontId="52" fillId="55" borderId="34" xfId="203" applyFill="1" applyBorder="1" applyAlignment="1">
      <alignment horizontal="left"/>
      <protection/>
    </xf>
    <xf numFmtId="0" fontId="27" fillId="57" borderId="33" xfId="0" applyFont="1" applyFill="1" applyBorder="1" applyAlignment="1">
      <alignment horizontal="center" vertical="center" wrapText="1"/>
    </xf>
    <xf numFmtId="0" fontId="27" fillId="57" borderId="109" xfId="0" applyFont="1" applyFill="1" applyBorder="1" applyAlignment="1">
      <alignment horizontal="center" vertical="center" wrapText="1"/>
    </xf>
    <xf numFmtId="0" fontId="27" fillId="57" borderId="84" xfId="0" applyFont="1" applyFill="1" applyBorder="1" applyAlignment="1">
      <alignment horizontal="center" vertical="center" wrapText="1"/>
    </xf>
    <xf numFmtId="0" fontId="27" fillId="27" borderId="32" xfId="0" applyFont="1" applyFill="1" applyBorder="1" applyAlignment="1">
      <alignment horizontal="center" vertical="center" wrapText="1"/>
    </xf>
    <xf numFmtId="0" fontId="27" fillId="12" borderId="33" xfId="0" applyFont="1" applyFill="1" applyBorder="1" applyAlignment="1">
      <alignment horizontal="center" vertical="center" wrapText="1"/>
    </xf>
    <xf numFmtId="0" fontId="27" fillId="12" borderId="109" xfId="0" applyFont="1" applyFill="1" applyBorder="1" applyAlignment="1">
      <alignment horizontal="center" vertical="center" wrapText="1"/>
    </xf>
    <xf numFmtId="0" fontId="27" fillId="12" borderId="84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27" fillId="18" borderId="112" xfId="0" applyFont="1" applyFill="1" applyBorder="1" applyAlignment="1">
      <alignment horizontal="center"/>
    </xf>
    <xf numFmtId="0" fontId="27" fillId="18" borderId="113" xfId="0" applyFont="1" applyFill="1" applyBorder="1" applyAlignment="1">
      <alignment horizontal="center"/>
    </xf>
    <xf numFmtId="0" fontId="27" fillId="18" borderId="114" xfId="0" applyFont="1" applyFill="1" applyBorder="1" applyAlignment="1">
      <alignment horizontal="center"/>
    </xf>
    <xf numFmtId="0" fontId="27" fillId="21" borderId="40" xfId="0" applyFont="1" applyFill="1" applyBorder="1" applyAlignment="1">
      <alignment horizontal="center"/>
    </xf>
    <xf numFmtId="0" fontId="27" fillId="21" borderId="115" xfId="0" applyFont="1" applyFill="1" applyBorder="1" applyAlignment="1">
      <alignment horizontal="center"/>
    </xf>
    <xf numFmtId="0" fontId="27" fillId="21" borderId="38" xfId="0" applyFont="1" applyFill="1" applyBorder="1" applyAlignment="1">
      <alignment horizontal="center"/>
    </xf>
    <xf numFmtId="0" fontId="27" fillId="57" borderId="80" xfId="0" applyFont="1" applyFill="1" applyBorder="1" applyAlignment="1">
      <alignment horizontal="center"/>
    </xf>
    <xf numFmtId="0" fontId="27" fillId="57" borderId="55" xfId="0" applyFont="1" applyFill="1" applyBorder="1" applyAlignment="1">
      <alignment horizontal="center"/>
    </xf>
    <xf numFmtId="0" fontId="77" fillId="55" borderId="33" xfId="203" applyFont="1" applyFill="1" applyBorder="1" applyAlignment="1">
      <alignment horizontal="center"/>
      <protection/>
    </xf>
    <xf numFmtId="0" fontId="77" fillId="55" borderId="109" xfId="203" applyFont="1" applyFill="1" applyBorder="1" applyAlignment="1">
      <alignment horizontal="center"/>
      <protection/>
    </xf>
    <xf numFmtId="0" fontId="77" fillId="55" borderId="84" xfId="203" applyFont="1" applyFill="1" applyBorder="1" applyAlignment="1">
      <alignment horizontal="center"/>
      <protection/>
    </xf>
    <xf numFmtId="0" fontId="77" fillId="0" borderId="0" xfId="203" applyFont="1" applyBorder="1" applyAlignment="1">
      <alignment horizontal="center"/>
      <protection/>
    </xf>
    <xf numFmtId="0" fontId="77" fillId="0" borderId="32" xfId="203" applyFont="1" applyBorder="1" applyAlignment="1">
      <alignment horizontal="left"/>
      <protection/>
    </xf>
    <xf numFmtId="0" fontId="30" fillId="55" borderId="32" xfId="203" applyFont="1" applyFill="1" applyBorder="1" applyAlignment="1">
      <alignment horizontal="left"/>
      <protection/>
    </xf>
    <xf numFmtId="0" fontId="77" fillId="0" borderId="33" xfId="203" applyFont="1" applyBorder="1" applyAlignment="1">
      <alignment horizontal="center"/>
      <protection/>
    </xf>
    <xf numFmtId="0" fontId="77" fillId="0" borderId="109" xfId="203" applyFont="1" applyBorder="1" applyAlignment="1">
      <alignment horizontal="center"/>
      <protection/>
    </xf>
    <xf numFmtId="0" fontId="77" fillId="0" borderId="84" xfId="203" applyFont="1" applyBorder="1" applyAlignment="1">
      <alignment horizontal="center"/>
      <protection/>
    </xf>
    <xf numFmtId="0" fontId="0" fillId="0" borderId="0" xfId="204">
      <alignment/>
      <protection/>
    </xf>
  </cellXfs>
  <cellStyles count="296">
    <cellStyle name="Normal" xfId="0"/>
    <cellStyle name="20% - Ênfase1" xfId="15"/>
    <cellStyle name="20% - Ênfase1 2" xfId="16"/>
    <cellStyle name="20% - Ênfase1 2 2" xfId="17"/>
    <cellStyle name="20% - Ênfase1 3" xfId="18"/>
    <cellStyle name="20% - Ênfase1 3 2" xfId="19"/>
    <cellStyle name="20% - Ênfase2" xfId="20"/>
    <cellStyle name="20% - Ênfase2 2" xfId="21"/>
    <cellStyle name="20% - Ênfase2 2 2" xfId="22"/>
    <cellStyle name="20% - Ênfase2 3" xfId="23"/>
    <cellStyle name="20% - Ênfase2 3 2" xfId="24"/>
    <cellStyle name="20% - Ênfase3" xfId="25"/>
    <cellStyle name="20% - Ênfase3 2" xfId="26"/>
    <cellStyle name="20% - Ênfase3 2 2" xfId="27"/>
    <cellStyle name="20% - Ênfase3 3" xfId="28"/>
    <cellStyle name="20% - Ênfase3 3 2" xfId="29"/>
    <cellStyle name="20% - Ênfase4" xfId="30"/>
    <cellStyle name="20% - Ênfase4 2" xfId="31"/>
    <cellStyle name="20% - Ênfase4 2 2" xfId="32"/>
    <cellStyle name="20% - Ênfase4 3" xfId="33"/>
    <cellStyle name="20% - Ênfase4 3 2" xfId="34"/>
    <cellStyle name="20% - Ênfase5" xfId="35"/>
    <cellStyle name="20% - Ênfase5 2" xfId="36"/>
    <cellStyle name="20% - Ênfase5 2 2" xfId="37"/>
    <cellStyle name="20% - Ênfase5 3" xfId="38"/>
    <cellStyle name="20% - Ênfase5 3 2" xfId="39"/>
    <cellStyle name="20% - Ênfase6" xfId="40"/>
    <cellStyle name="20% - Ênfase6 2" xfId="41"/>
    <cellStyle name="20% - Ênfase6 2 2" xfId="42"/>
    <cellStyle name="20% - Ênfase6 3" xfId="43"/>
    <cellStyle name="20% - Ênfase6 3 2" xfId="44"/>
    <cellStyle name="40% - Ênfase1" xfId="45"/>
    <cellStyle name="40% - Ênfase1 2" xfId="46"/>
    <cellStyle name="40% - Ênfase1 2 2" xfId="47"/>
    <cellStyle name="40% - Ênfase1 3" xfId="48"/>
    <cellStyle name="40% - Ênfase1 3 2" xfId="49"/>
    <cellStyle name="40% - Ênfase2" xfId="50"/>
    <cellStyle name="40% - Ênfase2 2" xfId="51"/>
    <cellStyle name="40% - Ênfase2 2 2" xfId="52"/>
    <cellStyle name="40% - Ênfase2 3" xfId="53"/>
    <cellStyle name="40% - Ênfase2 3 2" xfId="54"/>
    <cellStyle name="40% - Ênfase3" xfId="55"/>
    <cellStyle name="40% - Ênfase3 2" xfId="56"/>
    <cellStyle name="40% - Ênfase3 2 2" xfId="57"/>
    <cellStyle name="40% - Ênfase3 3" xfId="58"/>
    <cellStyle name="40% - Ênfase3 3 2" xfId="59"/>
    <cellStyle name="40% - Ênfase4" xfId="60"/>
    <cellStyle name="40% - Ênfase4 2" xfId="61"/>
    <cellStyle name="40% - Ênfase4 2 2" xfId="62"/>
    <cellStyle name="40% - Ênfase4 3" xfId="63"/>
    <cellStyle name="40% - Ênfase4 3 2" xfId="64"/>
    <cellStyle name="40% - Ênfase5" xfId="65"/>
    <cellStyle name="40% - Ênfase5 2" xfId="66"/>
    <cellStyle name="40% - Ênfase5 2 2" xfId="67"/>
    <cellStyle name="40% - Ênfase5 3" xfId="68"/>
    <cellStyle name="40% - Ênfase5 3 2" xfId="69"/>
    <cellStyle name="40% - Ênfase6" xfId="70"/>
    <cellStyle name="40% - Ênfase6 2" xfId="71"/>
    <cellStyle name="40% - Ênfase6 2 2" xfId="72"/>
    <cellStyle name="40% - Ênfase6 3" xfId="73"/>
    <cellStyle name="40% - Ênfase6 3 2" xfId="74"/>
    <cellStyle name="60% - Ênfase1" xfId="75"/>
    <cellStyle name="60% - Ênfase1 2" xfId="76"/>
    <cellStyle name="60% - Ênfase1 2 2" xfId="77"/>
    <cellStyle name="60% - Ênfase1 3" xfId="78"/>
    <cellStyle name="60% - Ênfase1 3 2" xfId="79"/>
    <cellStyle name="60% - Ênfase2" xfId="80"/>
    <cellStyle name="60% - Ênfase2 2" xfId="81"/>
    <cellStyle name="60% - Ênfase2 2 2" xfId="82"/>
    <cellStyle name="60% - Ênfase2 3" xfId="83"/>
    <cellStyle name="60% - Ênfase2 3 2" xfId="84"/>
    <cellStyle name="60% - Ênfase3" xfId="85"/>
    <cellStyle name="60% - Ênfase3 2" xfId="86"/>
    <cellStyle name="60% - Ênfase3 2 2" xfId="87"/>
    <cellStyle name="60% - Ênfase3 3" xfId="88"/>
    <cellStyle name="60% - Ênfase3 3 2" xfId="89"/>
    <cellStyle name="60% - Ênfase4" xfId="90"/>
    <cellStyle name="60% - Ênfase4 2" xfId="91"/>
    <cellStyle name="60% - Ênfase4 2 2" xfId="92"/>
    <cellStyle name="60% - Ênfase4 3" xfId="93"/>
    <cellStyle name="60% - Ênfase4 3 2" xfId="94"/>
    <cellStyle name="60% - Ênfase5" xfId="95"/>
    <cellStyle name="60% - Ênfase5 2" xfId="96"/>
    <cellStyle name="60% - Ênfase5 2 2" xfId="97"/>
    <cellStyle name="60% - Ênfase5 3" xfId="98"/>
    <cellStyle name="60% - Ênfase5 3 2" xfId="99"/>
    <cellStyle name="60% - Ênfase6" xfId="100"/>
    <cellStyle name="60% - Ênfase6 2" xfId="101"/>
    <cellStyle name="60% - Ênfase6 2 2" xfId="102"/>
    <cellStyle name="60% - Ênfase6 3" xfId="103"/>
    <cellStyle name="60% - Ênfase6 3 2" xfId="104"/>
    <cellStyle name="Bom" xfId="105"/>
    <cellStyle name="Bom 2" xfId="106"/>
    <cellStyle name="Bom 2 2" xfId="107"/>
    <cellStyle name="Bom 3" xfId="108"/>
    <cellStyle name="Bom 3 2" xfId="109"/>
    <cellStyle name="Cálculo" xfId="110"/>
    <cellStyle name="Cálculo 2" xfId="111"/>
    <cellStyle name="Cálculo 2 2" xfId="112"/>
    <cellStyle name="Cálculo 3" xfId="113"/>
    <cellStyle name="Cálculo 3 2" xfId="114"/>
    <cellStyle name="Cancel" xfId="115"/>
    <cellStyle name="Cancel 2" xfId="116"/>
    <cellStyle name="Cancel 3" xfId="117"/>
    <cellStyle name="Célula de Verificação" xfId="118"/>
    <cellStyle name="Célula de Verificação 2" xfId="119"/>
    <cellStyle name="Célula de Verificação 2 2" xfId="120"/>
    <cellStyle name="Célula de Verificação 3" xfId="121"/>
    <cellStyle name="Célula de Verificação 3 2" xfId="122"/>
    <cellStyle name="Célula Vinculada" xfId="123"/>
    <cellStyle name="Célula Vinculada 2" xfId="124"/>
    <cellStyle name="Célula Vinculada 2 2" xfId="125"/>
    <cellStyle name="Célula Vinculada 3" xfId="126"/>
    <cellStyle name="Célula Vinculada 3 2" xfId="127"/>
    <cellStyle name="Ênfase1" xfId="128"/>
    <cellStyle name="Ênfase1 2" xfId="129"/>
    <cellStyle name="Ênfase1 2 2" xfId="130"/>
    <cellStyle name="Ênfase1 3" xfId="131"/>
    <cellStyle name="Ênfase1 3 2" xfId="132"/>
    <cellStyle name="Ênfase2" xfId="133"/>
    <cellStyle name="Ênfase2 2" xfId="134"/>
    <cellStyle name="Ênfase2 2 2" xfId="135"/>
    <cellStyle name="Ênfase2 3" xfId="136"/>
    <cellStyle name="Ênfase2 3 2" xfId="137"/>
    <cellStyle name="Ênfase3" xfId="138"/>
    <cellStyle name="Ênfase3 2" xfId="139"/>
    <cellStyle name="Ênfase3 2 2" xfId="140"/>
    <cellStyle name="Ênfase3 3" xfId="141"/>
    <cellStyle name="Ênfase3 3 2" xfId="142"/>
    <cellStyle name="Ênfase4" xfId="143"/>
    <cellStyle name="Ênfase4 2" xfId="144"/>
    <cellStyle name="Ênfase4 2 2" xfId="145"/>
    <cellStyle name="Ênfase4 3" xfId="146"/>
    <cellStyle name="Ênfase4 3 2" xfId="147"/>
    <cellStyle name="Ênfase5" xfId="148"/>
    <cellStyle name="Ênfase5 2" xfId="149"/>
    <cellStyle name="Ênfase5 2 2" xfId="150"/>
    <cellStyle name="Ênfase5 3" xfId="151"/>
    <cellStyle name="Ênfase5 3 2" xfId="152"/>
    <cellStyle name="Ênfase6" xfId="153"/>
    <cellStyle name="Ênfase6 2" xfId="154"/>
    <cellStyle name="Ênfase6 2 2" xfId="155"/>
    <cellStyle name="Ênfase6 3" xfId="156"/>
    <cellStyle name="Ênfase6 3 2" xfId="157"/>
    <cellStyle name="Entrada" xfId="158"/>
    <cellStyle name="Entrada 2" xfId="159"/>
    <cellStyle name="Entrada 2 2" xfId="160"/>
    <cellStyle name="Entrada 3" xfId="161"/>
    <cellStyle name="Entrada 3 2" xfId="162"/>
    <cellStyle name="Hyperlink" xfId="163"/>
    <cellStyle name="Followed Hyperlink" xfId="164"/>
    <cellStyle name="Hyperlink 2" xfId="165"/>
    <cellStyle name="Incorreto 2" xfId="166"/>
    <cellStyle name="Incorreto 2 2" xfId="167"/>
    <cellStyle name="Incorreto 3" xfId="168"/>
    <cellStyle name="Incorreto 3 2" xfId="169"/>
    <cellStyle name="Currency" xfId="170"/>
    <cellStyle name="Currency [0]" xfId="171"/>
    <cellStyle name="Moeda 10" xfId="172"/>
    <cellStyle name="Moeda 10 2" xfId="173"/>
    <cellStyle name="Moeda 11" xfId="174"/>
    <cellStyle name="Moeda 11 2" xfId="175"/>
    <cellStyle name="Moeda 12" xfId="176"/>
    <cellStyle name="Moeda 13" xfId="177"/>
    <cellStyle name="Moeda 2" xfId="178"/>
    <cellStyle name="Moeda 2 2" xfId="179"/>
    <cellStyle name="Moeda 2 2 2" xfId="180"/>
    <cellStyle name="Moeda 2 3" xfId="181"/>
    <cellStyle name="Moeda 2 4" xfId="182"/>
    <cellStyle name="Moeda 2 5" xfId="183"/>
    <cellStyle name="Moeda 3" xfId="184"/>
    <cellStyle name="Moeda 3 2" xfId="185"/>
    <cellStyle name="Moeda 4" xfId="186"/>
    <cellStyle name="Moeda 5" xfId="187"/>
    <cellStyle name="Moeda 6" xfId="188"/>
    <cellStyle name="Moeda 7" xfId="189"/>
    <cellStyle name="Moeda 7 2" xfId="190"/>
    <cellStyle name="Moeda 7 2 2" xfId="191"/>
    <cellStyle name="Moeda 7 2 3" xfId="192"/>
    <cellStyle name="Moeda 7 3" xfId="193"/>
    <cellStyle name="Moeda 8" xfId="194"/>
    <cellStyle name="Moeda 8 2" xfId="195"/>
    <cellStyle name="Moeda 9" xfId="196"/>
    <cellStyle name="Moeda 9 2" xfId="197"/>
    <cellStyle name="Neutra 2" xfId="198"/>
    <cellStyle name="Neutra 2 2" xfId="199"/>
    <cellStyle name="Neutra 3" xfId="200"/>
    <cellStyle name="Neutra 3 2" xfId="201"/>
    <cellStyle name="Neutro" xfId="202"/>
    <cellStyle name="Normal 2" xfId="203"/>
    <cellStyle name="Normal 2 2" xfId="204"/>
    <cellStyle name="Normal 3" xfId="205"/>
    <cellStyle name="Normal 3 2" xfId="206"/>
    <cellStyle name="Normal 3 2 2" xfId="207"/>
    <cellStyle name="Normal 3 2 3" xfId="208"/>
    <cellStyle name="Normal 4" xfId="209"/>
    <cellStyle name="Normal 5" xfId="210"/>
    <cellStyle name="Normal 6" xfId="211"/>
    <cellStyle name="Normal 6 2" xfId="212"/>
    <cellStyle name="Normal 6 3" xfId="213"/>
    <cellStyle name="Normal 7" xfId="214"/>
    <cellStyle name="Normal 8" xfId="215"/>
    <cellStyle name="Normal 8 2" xfId="216"/>
    <cellStyle name="Normal 8 3" xfId="217"/>
    <cellStyle name="Nota" xfId="218"/>
    <cellStyle name="Nota 2" xfId="219"/>
    <cellStyle name="Nota 2 2" xfId="220"/>
    <cellStyle name="Nota 3" xfId="221"/>
    <cellStyle name="Nota 3 2" xfId="222"/>
    <cellStyle name="Percent" xfId="223"/>
    <cellStyle name="Porcentagem 10" xfId="224"/>
    <cellStyle name="Porcentagem 10 2" xfId="225"/>
    <cellStyle name="Porcentagem 10 3" xfId="226"/>
    <cellStyle name="Porcentagem 11" xfId="227"/>
    <cellStyle name="Porcentagem 12" xfId="228"/>
    <cellStyle name="Porcentagem 13" xfId="229"/>
    <cellStyle name="Porcentagem 14" xfId="230"/>
    <cellStyle name="Porcentagem 2" xfId="231"/>
    <cellStyle name="Porcentagem 2 2" xfId="232"/>
    <cellStyle name="Porcentagem 2 3" xfId="233"/>
    <cellStyle name="Porcentagem 2 4" xfId="234"/>
    <cellStyle name="Porcentagem 3" xfId="235"/>
    <cellStyle name="Porcentagem 4" xfId="236"/>
    <cellStyle name="Porcentagem 5" xfId="237"/>
    <cellStyle name="Porcentagem 5 2" xfId="238"/>
    <cellStyle name="Porcentagem 6" xfId="239"/>
    <cellStyle name="Porcentagem 6 2" xfId="240"/>
    <cellStyle name="Porcentagem 7" xfId="241"/>
    <cellStyle name="Porcentagem 7 2" xfId="242"/>
    <cellStyle name="Porcentagem 8" xfId="243"/>
    <cellStyle name="Porcentagem 8 2" xfId="244"/>
    <cellStyle name="Porcentagem 9" xfId="245"/>
    <cellStyle name="Ruim" xfId="246"/>
    <cellStyle name="Saída" xfId="247"/>
    <cellStyle name="Saída 2" xfId="248"/>
    <cellStyle name="Saída 2 2" xfId="249"/>
    <cellStyle name="Saída 3" xfId="250"/>
    <cellStyle name="Saída 3 2" xfId="251"/>
    <cellStyle name="Comma [0]" xfId="252"/>
    <cellStyle name="Separador de milhares 10" xfId="253"/>
    <cellStyle name="Separador de milhares 10 2" xfId="254"/>
    <cellStyle name="Separador de milhares 2" xfId="255"/>
    <cellStyle name="Separador de milhares 2 2" xfId="256"/>
    <cellStyle name="Separador de milhares 2 2 2" xfId="257"/>
    <cellStyle name="Separador de milhares 2 3" xfId="258"/>
    <cellStyle name="Separador de milhares 3" xfId="259"/>
    <cellStyle name="Separador de milhares 4" xfId="260"/>
    <cellStyle name="Separador de milhares 4 2" xfId="261"/>
    <cellStyle name="Separador de milhares 5" xfId="262"/>
    <cellStyle name="TableStyleLight1" xfId="263"/>
    <cellStyle name="Texto de Aviso" xfId="264"/>
    <cellStyle name="Texto de Aviso 2" xfId="265"/>
    <cellStyle name="Texto de Aviso 2 2" xfId="266"/>
    <cellStyle name="Texto de Aviso 3" xfId="267"/>
    <cellStyle name="Texto de Aviso 3 2" xfId="268"/>
    <cellStyle name="Texto Explicativo" xfId="269"/>
    <cellStyle name="Texto Explicativo 2" xfId="270"/>
    <cellStyle name="Texto Explicativo 2 2" xfId="271"/>
    <cellStyle name="Texto Explicativo 3" xfId="272"/>
    <cellStyle name="Texto Explicativo 3 2" xfId="273"/>
    <cellStyle name="Título" xfId="274"/>
    <cellStyle name="Título 1" xfId="275"/>
    <cellStyle name="Título 1 2" xfId="276"/>
    <cellStyle name="Título 1 2 2" xfId="277"/>
    <cellStyle name="Título 1 3" xfId="278"/>
    <cellStyle name="Título 1 3 2" xfId="279"/>
    <cellStyle name="Título 2" xfId="280"/>
    <cellStyle name="Título 2 2" xfId="281"/>
    <cellStyle name="Título 2 2 2" xfId="282"/>
    <cellStyle name="Título 2 3" xfId="283"/>
    <cellStyle name="Título 2 3 2" xfId="284"/>
    <cellStyle name="Título 3" xfId="285"/>
    <cellStyle name="Título 3 2" xfId="286"/>
    <cellStyle name="Título 3 2 2" xfId="287"/>
    <cellStyle name="Título 3 3" xfId="288"/>
    <cellStyle name="Título 3 3 2" xfId="289"/>
    <cellStyle name="Título 4" xfId="290"/>
    <cellStyle name="Título 4 2" xfId="291"/>
    <cellStyle name="Título 4 2 2" xfId="292"/>
    <cellStyle name="Título 4 3" xfId="293"/>
    <cellStyle name="Título 4 3 2" xfId="294"/>
    <cellStyle name="Título 5" xfId="295"/>
    <cellStyle name="Título 5 2" xfId="296"/>
    <cellStyle name="Título 6" xfId="297"/>
    <cellStyle name="Título 6 2" xfId="298"/>
    <cellStyle name="Total" xfId="299"/>
    <cellStyle name="Total 2" xfId="300"/>
    <cellStyle name="Total 2 2" xfId="301"/>
    <cellStyle name="Total 3" xfId="302"/>
    <cellStyle name="Total 3 2" xfId="303"/>
    <cellStyle name="Comma" xfId="304"/>
    <cellStyle name="Vírgula 2" xfId="305"/>
    <cellStyle name="Vírgula 2 2" xfId="306"/>
    <cellStyle name="Vírgula 3" xfId="307"/>
    <cellStyle name="Vírgula 3 2" xfId="308"/>
    <cellStyle name="Vírgula 4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ontas.tcu.gov.br/Users\Richelieu\Desktop\DIPAC\TERMOS_DE_REFER&#202;NCIA\LIMPEZA_COPEIRAGEM\SE_MA\Custo%20Material%20e%20Equipamentos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Conservo\Downloads\2013_PE_011_AnexoI_PlanilhaCustos%20-%20l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LIMPEZA%202018-2019\Planilhas%20com%20frequ&#234;ncia\H_Anexo%20V%20-%20UniformesEPI_5%20alterado%20em%202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is"/>
      <sheetName val="Equipamentos"/>
      <sheetName val="ORÇ EQUI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Preliminares"/>
      <sheetName val="Declaração"/>
      <sheetName val="Áreas"/>
      <sheetName val="Salário"/>
      <sheetName val="Uniforme"/>
      <sheetName val="Tributos - Vale Transporte"/>
      <sheetName val="Formação de Preço"/>
      <sheetName val="Anexo XV"/>
      <sheetName val="Plan1"/>
      <sheetName val="Plan2"/>
    </sheetNames>
    <sheetDataSet>
      <sheetData sheetId="8">
        <row r="24">
          <cell r="J24">
            <v>270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FOR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.421875" style="407" bestFit="1" customWidth="1"/>
    <col min="2" max="2" width="144.28125" style="407" customWidth="1"/>
    <col min="3" max="16384" width="8.7109375" style="407" customWidth="1"/>
  </cols>
  <sheetData>
    <row r="1" spans="1:2" ht="12">
      <c r="A1" s="407" t="s">
        <v>209</v>
      </c>
      <c r="B1" s="407" t="s">
        <v>210</v>
      </c>
    </row>
    <row r="2" spans="1:2" ht="12">
      <c r="A2" s="407">
        <v>1</v>
      </c>
      <c r="B2" s="407" t="s">
        <v>211</v>
      </c>
    </row>
    <row r="3" spans="1:2" ht="12">
      <c r="A3" s="407">
        <v>2</v>
      </c>
      <c r="B3" s="407" t="s">
        <v>212</v>
      </c>
    </row>
    <row r="4" spans="1:2" ht="12">
      <c r="A4" s="407">
        <v>3</v>
      </c>
      <c r="B4" s="407" t="s">
        <v>214</v>
      </c>
    </row>
    <row r="5" spans="1:2" ht="12">
      <c r="A5" s="407">
        <v>4</v>
      </c>
      <c r="B5" s="407" t="s">
        <v>213</v>
      </c>
    </row>
    <row r="6" spans="1:2" ht="12">
      <c r="A6" s="407">
        <v>5</v>
      </c>
      <c r="B6" s="407" t="s">
        <v>217</v>
      </c>
    </row>
    <row r="7" spans="1:2" ht="12">
      <c r="A7" s="407">
        <v>6</v>
      </c>
      <c r="B7" s="407" t="s">
        <v>218</v>
      </c>
    </row>
    <row r="8" spans="1:2" ht="12">
      <c r="A8" s="407">
        <v>7</v>
      </c>
      <c r="B8" s="407" t="s">
        <v>219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8"/>
  <sheetViews>
    <sheetView zoomScale="90" zoomScaleNormal="90" zoomScalePageLayoutView="0" workbookViewId="0" topLeftCell="A1">
      <pane ySplit="2" topLeftCell="A171" activePane="bottomLeft" state="frozen"/>
      <selection pane="topLeft" activeCell="AB37" sqref="AB37"/>
      <selection pane="bottomLeft" activeCell="I199" sqref="I199"/>
    </sheetView>
  </sheetViews>
  <sheetFormatPr defaultColWidth="9.140625" defaultRowHeight="12.75"/>
  <cols>
    <col min="1" max="1" width="12.140625" style="0" customWidth="1"/>
    <col min="9" max="9" width="10.7109375" style="0" customWidth="1"/>
  </cols>
  <sheetData>
    <row r="1" spans="1:9" ht="12.75" thickBot="1">
      <c r="A1" s="345" t="s">
        <v>63</v>
      </c>
      <c r="B1" s="348" t="s">
        <v>64</v>
      </c>
      <c r="C1" s="343"/>
      <c r="D1" s="343"/>
      <c r="E1" s="343"/>
      <c r="F1" s="343"/>
      <c r="G1" s="343"/>
      <c r="H1" s="343"/>
      <c r="I1" s="344"/>
    </row>
    <row r="2" spans="1:9" ht="81" thickBot="1">
      <c r="A2" s="346"/>
      <c r="B2" s="327"/>
      <c r="C2" s="165" t="s">
        <v>111</v>
      </c>
      <c r="D2" s="165" t="s">
        <v>112</v>
      </c>
      <c r="E2" s="165" t="s">
        <v>113</v>
      </c>
      <c r="F2" s="165" t="s">
        <v>114</v>
      </c>
      <c r="G2" s="165" t="s">
        <v>115</v>
      </c>
      <c r="H2" s="165" t="s">
        <v>116</v>
      </c>
      <c r="I2" s="349" t="s">
        <v>80</v>
      </c>
    </row>
    <row r="3" spans="1:9" ht="12.75" thickBot="1">
      <c r="A3" s="347"/>
      <c r="B3" s="328"/>
      <c r="C3" s="93" t="s">
        <v>74</v>
      </c>
      <c r="D3" s="93" t="s">
        <v>75</v>
      </c>
      <c r="E3" s="93" t="s">
        <v>76</v>
      </c>
      <c r="F3" s="93" t="s">
        <v>77</v>
      </c>
      <c r="G3" s="94" t="s">
        <v>78</v>
      </c>
      <c r="H3" s="93" t="s">
        <v>79</v>
      </c>
      <c r="I3" s="349"/>
    </row>
    <row r="4" spans="1:9" ht="12">
      <c r="A4" s="335" t="s">
        <v>81</v>
      </c>
      <c r="B4" s="95" t="s">
        <v>82</v>
      </c>
      <c r="C4" s="248">
        <v>0</v>
      </c>
      <c r="D4" s="248">
        <v>0</v>
      </c>
      <c r="E4" s="248">
        <v>0</v>
      </c>
      <c r="F4" s="248">
        <v>0</v>
      </c>
      <c r="G4" s="248">
        <v>0</v>
      </c>
      <c r="H4" s="248">
        <v>0</v>
      </c>
      <c r="I4" s="264">
        <f aca="true" t="shared" si="0" ref="I4:I35">SUM(C4:H4)</f>
        <v>0</v>
      </c>
    </row>
    <row r="5" spans="1:9" ht="12">
      <c r="A5" s="325"/>
      <c r="B5" s="96" t="s">
        <v>83</v>
      </c>
      <c r="C5" s="99">
        <v>215.67</v>
      </c>
      <c r="D5" s="99">
        <v>3676.6</v>
      </c>
      <c r="E5" s="99">
        <v>193.03</v>
      </c>
      <c r="F5" s="99">
        <v>3457.6</v>
      </c>
      <c r="G5" s="99">
        <v>80</v>
      </c>
      <c r="H5" s="99">
        <v>1285.2</v>
      </c>
      <c r="I5" s="265">
        <f t="shared" si="0"/>
        <v>8908.1</v>
      </c>
    </row>
    <row r="6" spans="1:9" ht="12">
      <c r="A6" s="325"/>
      <c r="B6" s="97" t="s">
        <v>84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8">
        <v>0</v>
      </c>
      <c r="I6" s="265">
        <f t="shared" si="0"/>
        <v>0</v>
      </c>
    </row>
    <row r="7" spans="1:9" ht="12">
      <c r="A7" s="325"/>
      <c r="B7" s="97" t="s">
        <v>101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265">
        <f t="shared" si="0"/>
        <v>0</v>
      </c>
    </row>
    <row r="8" spans="1:9" ht="12">
      <c r="A8" s="325"/>
      <c r="B8" s="97" t="s">
        <v>102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265">
        <f t="shared" si="0"/>
        <v>0</v>
      </c>
    </row>
    <row r="9" spans="1:9" ht="12">
      <c r="A9" s="325"/>
      <c r="B9" s="97" t="s">
        <v>117</v>
      </c>
      <c r="C9" s="98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266">
        <f t="shared" si="0"/>
        <v>0</v>
      </c>
    </row>
    <row r="10" spans="1:9" ht="12">
      <c r="A10" s="325"/>
      <c r="B10" s="97" t="s">
        <v>118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265">
        <f t="shared" si="0"/>
        <v>0</v>
      </c>
    </row>
    <row r="11" spans="1:9" ht="12">
      <c r="A11" s="325"/>
      <c r="B11" s="97" t="s">
        <v>119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266">
        <f t="shared" si="0"/>
        <v>0</v>
      </c>
    </row>
    <row r="12" spans="1:9" ht="12">
      <c r="A12" s="325"/>
      <c r="B12" s="97" t="s">
        <v>120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265">
        <f t="shared" si="0"/>
        <v>0</v>
      </c>
    </row>
    <row r="13" spans="1:9" ht="12">
      <c r="A13" s="325"/>
      <c r="B13" s="97" t="s">
        <v>121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265">
        <f t="shared" si="0"/>
        <v>0</v>
      </c>
    </row>
    <row r="14" spans="1:9" ht="12.75" thickBot="1">
      <c r="A14" s="325"/>
      <c r="B14" s="100" t="s">
        <v>122</v>
      </c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67">
        <f t="shared" si="0"/>
        <v>0</v>
      </c>
    </row>
    <row r="15" spans="1:9" ht="12.75" thickBot="1">
      <c r="A15" s="324"/>
      <c r="B15" s="93" t="s">
        <v>80</v>
      </c>
      <c r="C15" s="262">
        <f aca="true" t="shared" si="1" ref="C15:H15">SUM(C4:C14)</f>
        <v>215.67</v>
      </c>
      <c r="D15" s="262">
        <f t="shared" si="1"/>
        <v>3676.6</v>
      </c>
      <c r="E15" s="262">
        <f t="shared" si="1"/>
        <v>193.03</v>
      </c>
      <c r="F15" s="262">
        <f t="shared" si="1"/>
        <v>3457.6</v>
      </c>
      <c r="G15" s="262">
        <f t="shared" si="1"/>
        <v>80</v>
      </c>
      <c r="H15" s="262">
        <f t="shared" si="1"/>
        <v>1285.2</v>
      </c>
      <c r="I15" s="263">
        <f t="shared" si="0"/>
        <v>8908.1</v>
      </c>
    </row>
    <row r="16" spans="1:9" ht="12">
      <c r="A16" s="350" t="s">
        <v>85</v>
      </c>
      <c r="B16" s="97" t="s">
        <v>82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264">
        <f t="shared" si="0"/>
        <v>0</v>
      </c>
    </row>
    <row r="17" spans="1:9" ht="12">
      <c r="A17" s="325"/>
      <c r="B17" s="96" t="s">
        <v>83</v>
      </c>
      <c r="C17" s="250">
        <v>204.94</v>
      </c>
      <c r="D17" s="105">
        <v>3526.94</v>
      </c>
      <c r="E17" s="105">
        <v>203.5</v>
      </c>
      <c r="F17" s="105">
        <v>3290.24</v>
      </c>
      <c r="G17" s="105">
        <v>71.24</v>
      </c>
      <c r="H17" s="105">
        <v>1312.2</v>
      </c>
      <c r="I17" s="265">
        <f t="shared" si="0"/>
        <v>8609.06</v>
      </c>
    </row>
    <row r="18" spans="1:9" ht="12">
      <c r="A18" s="325"/>
      <c r="B18" s="97" t="s">
        <v>84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265">
        <f t="shared" si="0"/>
        <v>0</v>
      </c>
    </row>
    <row r="19" spans="1:9" ht="12">
      <c r="A19" s="325"/>
      <c r="B19" s="97" t="s">
        <v>101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265">
        <f t="shared" si="0"/>
        <v>0</v>
      </c>
    </row>
    <row r="20" spans="1:9" ht="12">
      <c r="A20" s="325"/>
      <c r="B20" s="97" t="s">
        <v>102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265">
        <f t="shared" si="0"/>
        <v>0</v>
      </c>
    </row>
    <row r="21" spans="1:9" ht="12">
      <c r="A21" s="325"/>
      <c r="B21" s="97" t="s">
        <v>117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265">
        <f t="shared" si="0"/>
        <v>0</v>
      </c>
    </row>
    <row r="22" spans="1:9" ht="12">
      <c r="A22" s="325"/>
      <c r="B22" s="97" t="s">
        <v>118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265">
        <f t="shared" si="0"/>
        <v>0</v>
      </c>
    </row>
    <row r="23" spans="1:9" ht="12">
      <c r="A23" s="325"/>
      <c r="B23" s="97" t="s">
        <v>119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265">
        <f t="shared" si="0"/>
        <v>0</v>
      </c>
    </row>
    <row r="24" spans="1:9" ht="12">
      <c r="A24" s="325"/>
      <c r="B24" s="97" t="s">
        <v>120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265">
        <f t="shared" si="0"/>
        <v>0</v>
      </c>
    </row>
    <row r="25" spans="1:9" ht="12">
      <c r="A25" s="325"/>
      <c r="B25" s="97" t="s">
        <v>123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265">
        <f t="shared" si="0"/>
        <v>0</v>
      </c>
    </row>
    <row r="26" spans="1:9" ht="12.75" thickBot="1">
      <c r="A26" s="325"/>
      <c r="B26" s="100" t="s">
        <v>122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  <c r="I26" s="267">
        <f t="shared" si="0"/>
        <v>0</v>
      </c>
    </row>
    <row r="27" spans="1:9" ht="12.75" thickBot="1">
      <c r="A27" s="324"/>
      <c r="B27" s="101" t="s">
        <v>80</v>
      </c>
      <c r="C27" s="263">
        <f aca="true" t="shared" si="2" ref="C27:H27">SUM(C16:C26)</f>
        <v>204.94</v>
      </c>
      <c r="D27" s="263">
        <f t="shared" si="2"/>
        <v>3526.94</v>
      </c>
      <c r="E27" s="263">
        <f t="shared" si="2"/>
        <v>203.5</v>
      </c>
      <c r="F27" s="263">
        <f t="shared" si="2"/>
        <v>3290.24</v>
      </c>
      <c r="G27" s="263">
        <f t="shared" si="2"/>
        <v>71.24</v>
      </c>
      <c r="H27" s="263">
        <f t="shared" si="2"/>
        <v>1312.2</v>
      </c>
      <c r="I27" s="263">
        <f t="shared" si="0"/>
        <v>8609.06</v>
      </c>
    </row>
    <row r="28" spans="1:9" ht="12.75" customHeight="1">
      <c r="A28" s="323" t="s">
        <v>86</v>
      </c>
      <c r="B28" s="102" t="s">
        <v>82</v>
      </c>
      <c r="C28" s="253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  <c r="I28" s="264">
        <f t="shared" si="0"/>
        <v>0</v>
      </c>
    </row>
    <row r="29" spans="1:9" ht="12">
      <c r="A29" s="325"/>
      <c r="B29" s="96" t="s">
        <v>83</v>
      </c>
      <c r="C29" s="105">
        <v>70</v>
      </c>
      <c r="D29" s="105">
        <f>554.75-11*5.84</f>
        <v>490.51</v>
      </c>
      <c r="E29" s="105">
        <v>782.08</v>
      </c>
      <c r="F29" s="105">
        <v>6197.98</v>
      </c>
      <c r="G29" s="105">
        <v>163.52</v>
      </c>
      <c r="H29" s="105">
        <v>1295.9</v>
      </c>
      <c r="I29" s="265">
        <f t="shared" si="0"/>
        <v>8999.99</v>
      </c>
    </row>
    <row r="30" spans="1:9" ht="12">
      <c r="A30" s="325"/>
      <c r="B30" s="97" t="s">
        <v>124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265">
        <f t="shared" si="0"/>
        <v>0</v>
      </c>
    </row>
    <row r="31" spans="1:9" ht="12">
      <c r="A31" s="325"/>
      <c r="B31" s="97" t="s">
        <v>101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265">
        <f t="shared" si="0"/>
        <v>0</v>
      </c>
    </row>
    <row r="32" spans="1:9" ht="12">
      <c r="A32" s="325"/>
      <c r="B32" s="97" t="s">
        <v>102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265">
        <f t="shared" si="0"/>
        <v>0</v>
      </c>
    </row>
    <row r="33" spans="1:9" ht="12.75" thickBot="1">
      <c r="A33" s="325"/>
      <c r="B33" s="100" t="s">
        <v>125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51">
        <v>0</v>
      </c>
      <c r="I33" s="267">
        <f t="shared" si="0"/>
        <v>0</v>
      </c>
    </row>
    <row r="34" spans="1:9" ht="12.75" thickBot="1">
      <c r="A34" s="324"/>
      <c r="B34" s="103" t="s">
        <v>80</v>
      </c>
      <c r="C34" s="263">
        <f aca="true" t="shared" si="3" ref="C34:H34">SUM(C28:C33)</f>
        <v>70</v>
      </c>
      <c r="D34" s="263">
        <f t="shared" si="3"/>
        <v>490.51</v>
      </c>
      <c r="E34" s="263">
        <f t="shared" si="3"/>
        <v>782.08</v>
      </c>
      <c r="F34" s="263">
        <f t="shared" si="3"/>
        <v>6197.98</v>
      </c>
      <c r="G34" s="263">
        <f t="shared" si="3"/>
        <v>163.52</v>
      </c>
      <c r="H34" s="263">
        <f t="shared" si="3"/>
        <v>1295.9</v>
      </c>
      <c r="I34" s="263">
        <f t="shared" si="0"/>
        <v>8999.99</v>
      </c>
    </row>
    <row r="35" spans="1:9" ht="12">
      <c r="A35" s="326" t="s">
        <v>88</v>
      </c>
      <c r="B35" s="95" t="s">
        <v>82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64">
        <f t="shared" si="0"/>
        <v>0</v>
      </c>
    </row>
    <row r="36" spans="1:9" ht="12">
      <c r="A36" s="327"/>
      <c r="B36" s="96" t="s">
        <v>83</v>
      </c>
      <c r="C36" s="105">
        <v>203.86</v>
      </c>
      <c r="D36" s="105">
        <v>3506.46</v>
      </c>
      <c r="E36" s="105">
        <v>191.17</v>
      </c>
      <c r="F36" s="105">
        <v>3297.64</v>
      </c>
      <c r="G36" s="105">
        <v>72.34</v>
      </c>
      <c r="H36" s="105">
        <v>1302.19</v>
      </c>
      <c r="I36" s="265">
        <f aca="true" t="shared" si="4" ref="I36:I67">SUM(C36:H36)</f>
        <v>8573.66</v>
      </c>
    </row>
    <row r="37" spans="1:9" ht="12">
      <c r="A37" s="327"/>
      <c r="B37" s="97" t="s">
        <v>84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265">
        <f t="shared" si="4"/>
        <v>0</v>
      </c>
    </row>
    <row r="38" spans="1:9" ht="12">
      <c r="A38" s="327"/>
      <c r="B38" s="97" t="s">
        <v>101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265">
        <f t="shared" si="4"/>
        <v>0</v>
      </c>
    </row>
    <row r="39" spans="1:9" ht="12">
      <c r="A39" s="327"/>
      <c r="B39" s="97" t="s">
        <v>102</v>
      </c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265">
        <f t="shared" si="4"/>
        <v>0</v>
      </c>
    </row>
    <row r="40" spans="1:9" ht="12">
      <c r="A40" s="327"/>
      <c r="B40" s="97" t="s">
        <v>117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265">
        <f t="shared" si="4"/>
        <v>0</v>
      </c>
    </row>
    <row r="41" spans="1:9" ht="12">
      <c r="A41" s="327"/>
      <c r="B41" s="97" t="s">
        <v>118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265">
        <f t="shared" si="4"/>
        <v>0</v>
      </c>
    </row>
    <row r="42" spans="1:9" ht="12">
      <c r="A42" s="327"/>
      <c r="B42" s="97" t="s">
        <v>119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265">
        <f t="shared" si="4"/>
        <v>0</v>
      </c>
    </row>
    <row r="43" spans="1:9" ht="12">
      <c r="A43" s="327"/>
      <c r="B43" s="97" t="s">
        <v>120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265">
        <f t="shared" si="4"/>
        <v>0</v>
      </c>
    </row>
    <row r="44" spans="1:9" ht="12">
      <c r="A44" s="327"/>
      <c r="B44" s="97" t="s">
        <v>123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265">
        <f t="shared" si="4"/>
        <v>0</v>
      </c>
    </row>
    <row r="45" spans="1:9" ht="12.75" thickBot="1">
      <c r="A45" s="327"/>
      <c r="B45" s="100" t="s">
        <v>122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  <c r="H45" s="251">
        <v>0</v>
      </c>
      <c r="I45" s="267">
        <f t="shared" si="4"/>
        <v>0</v>
      </c>
    </row>
    <row r="46" spans="1:9" ht="12.75" thickBot="1">
      <c r="A46" s="328"/>
      <c r="B46" s="104" t="s">
        <v>80</v>
      </c>
      <c r="C46" s="263">
        <f aca="true" t="shared" si="5" ref="C46:H46">SUM(C35:C45)</f>
        <v>203.86</v>
      </c>
      <c r="D46" s="263">
        <f t="shared" si="5"/>
        <v>3506.46</v>
      </c>
      <c r="E46" s="263">
        <f t="shared" si="5"/>
        <v>191.17</v>
      </c>
      <c r="F46" s="263">
        <f t="shared" si="5"/>
        <v>3297.64</v>
      </c>
      <c r="G46" s="263">
        <f t="shared" si="5"/>
        <v>72.34</v>
      </c>
      <c r="H46" s="263">
        <f t="shared" si="5"/>
        <v>1302.19</v>
      </c>
      <c r="I46" s="263">
        <f t="shared" si="4"/>
        <v>8573.66</v>
      </c>
    </row>
    <row r="47" spans="1:9" ht="12">
      <c r="A47" s="323" t="s">
        <v>89</v>
      </c>
      <c r="B47" s="95" t="s">
        <v>126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64">
        <f t="shared" si="4"/>
        <v>0</v>
      </c>
    </row>
    <row r="48" spans="1:9" ht="12">
      <c r="A48" s="325"/>
      <c r="B48" s="97" t="s">
        <v>127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265">
        <f t="shared" si="4"/>
        <v>0</v>
      </c>
    </row>
    <row r="49" spans="1:9" ht="12">
      <c r="A49" s="325"/>
      <c r="B49" s="96" t="s">
        <v>83</v>
      </c>
      <c r="C49" s="105">
        <v>203.79</v>
      </c>
      <c r="D49" s="105">
        <v>3742.32</v>
      </c>
      <c r="E49" s="105">
        <v>191.22</v>
      </c>
      <c r="F49" s="105">
        <v>3507.21</v>
      </c>
      <c r="G49" s="105">
        <v>70.4</v>
      </c>
      <c r="H49" s="105">
        <v>1284.8</v>
      </c>
      <c r="I49" s="265">
        <f t="shared" si="4"/>
        <v>8999.74</v>
      </c>
    </row>
    <row r="50" spans="1:9" ht="12">
      <c r="A50" s="325"/>
      <c r="B50" s="97" t="s">
        <v>84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265">
        <f t="shared" si="4"/>
        <v>0</v>
      </c>
    </row>
    <row r="51" spans="1:9" ht="12">
      <c r="A51" s="325"/>
      <c r="B51" s="97" t="s">
        <v>101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265">
        <f t="shared" si="4"/>
        <v>0</v>
      </c>
    </row>
    <row r="52" spans="1:9" ht="12">
      <c r="A52" s="325"/>
      <c r="B52" s="97" t="s">
        <v>102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265">
        <f t="shared" si="4"/>
        <v>0</v>
      </c>
    </row>
    <row r="53" spans="1:9" ht="12">
      <c r="A53" s="325"/>
      <c r="B53" s="97" t="s">
        <v>117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265">
        <f t="shared" si="4"/>
        <v>0</v>
      </c>
    </row>
    <row r="54" spans="1:9" ht="12">
      <c r="A54" s="325"/>
      <c r="B54" s="97" t="s">
        <v>118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265">
        <f t="shared" si="4"/>
        <v>0</v>
      </c>
    </row>
    <row r="55" spans="1:9" ht="12">
      <c r="A55" s="325"/>
      <c r="B55" s="97" t="s">
        <v>119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265">
        <f t="shared" si="4"/>
        <v>0</v>
      </c>
    </row>
    <row r="56" spans="1:9" ht="12">
      <c r="A56" s="325"/>
      <c r="B56" s="97" t="s">
        <v>120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265">
        <f t="shared" si="4"/>
        <v>0</v>
      </c>
    </row>
    <row r="57" spans="1:9" ht="12">
      <c r="A57" s="325"/>
      <c r="B57" s="97" t="s">
        <v>123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  <c r="I57" s="265">
        <f t="shared" si="4"/>
        <v>0</v>
      </c>
    </row>
    <row r="58" spans="1:9" ht="12.75" thickBot="1">
      <c r="A58" s="325"/>
      <c r="B58" s="106" t="s">
        <v>122</v>
      </c>
      <c r="C58" s="107">
        <v>0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268">
        <f t="shared" si="4"/>
        <v>0</v>
      </c>
    </row>
    <row r="59" spans="1:9" ht="12.75" thickBot="1">
      <c r="A59" s="342"/>
      <c r="B59" s="108" t="s">
        <v>80</v>
      </c>
      <c r="C59" s="277">
        <f aca="true" t="shared" si="6" ref="C59:H59">SUM(C47:C58)</f>
        <v>203.79</v>
      </c>
      <c r="D59" s="277">
        <f t="shared" si="6"/>
        <v>3742.32</v>
      </c>
      <c r="E59" s="277">
        <f t="shared" si="6"/>
        <v>191.22</v>
      </c>
      <c r="F59" s="277">
        <f t="shared" si="6"/>
        <v>3507.21</v>
      </c>
      <c r="G59" s="277">
        <f t="shared" si="6"/>
        <v>70.4</v>
      </c>
      <c r="H59" s="277">
        <f t="shared" si="6"/>
        <v>1284.8</v>
      </c>
      <c r="I59" s="269">
        <f t="shared" si="4"/>
        <v>8999.74</v>
      </c>
    </row>
    <row r="60" spans="1:9" ht="12">
      <c r="A60" s="332" t="s">
        <v>128</v>
      </c>
      <c r="B60" s="109" t="s">
        <v>83</v>
      </c>
      <c r="C60" s="110">
        <v>143.5</v>
      </c>
      <c r="D60" s="110">
        <v>0</v>
      </c>
      <c r="E60" s="110">
        <v>0</v>
      </c>
      <c r="F60" s="110">
        <v>0</v>
      </c>
      <c r="G60" s="110">
        <v>0</v>
      </c>
      <c r="H60" s="110">
        <v>752.79</v>
      </c>
      <c r="I60" s="264">
        <f t="shared" si="4"/>
        <v>896.29</v>
      </c>
    </row>
    <row r="61" spans="1:9" ht="12">
      <c r="A61" s="333"/>
      <c r="B61" s="111" t="s">
        <v>87</v>
      </c>
      <c r="C61" s="99">
        <v>0</v>
      </c>
      <c r="D61" s="99">
        <v>547.75</v>
      </c>
      <c r="E61" s="99">
        <v>0</v>
      </c>
      <c r="F61" s="99">
        <v>0</v>
      </c>
      <c r="G61" s="99">
        <v>0</v>
      </c>
      <c r="H61" s="99">
        <v>0</v>
      </c>
      <c r="I61" s="265">
        <f t="shared" si="4"/>
        <v>547.75</v>
      </c>
    </row>
    <row r="62" spans="1:9" ht="12">
      <c r="A62" s="333"/>
      <c r="B62" s="111" t="s">
        <v>101</v>
      </c>
      <c r="C62" s="99">
        <v>0</v>
      </c>
      <c r="D62" s="99">
        <v>547.75</v>
      </c>
      <c r="E62" s="99">
        <v>0</v>
      </c>
      <c r="F62" s="99">
        <v>0</v>
      </c>
      <c r="G62" s="99">
        <v>0</v>
      </c>
      <c r="H62" s="99">
        <v>0</v>
      </c>
      <c r="I62" s="265">
        <f t="shared" si="4"/>
        <v>547.75</v>
      </c>
    </row>
    <row r="63" spans="1:9" ht="12">
      <c r="A63" s="333"/>
      <c r="B63" s="111" t="s">
        <v>102</v>
      </c>
      <c r="C63" s="99">
        <v>0</v>
      </c>
      <c r="D63" s="99">
        <v>547.75</v>
      </c>
      <c r="E63" s="99">
        <v>0</v>
      </c>
      <c r="F63" s="99">
        <v>0</v>
      </c>
      <c r="G63" s="99">
        <v>0</v>
      </c>
      <c r="H63" s="99">
        <v>0</v>
      </c>
      <c r="I63" s="265">
        <f t="shared" si="4"/>
        <v>547.75</v>
      </c>
    </row>
    <row r="64" spans="1:9" ht="12.75" thickBot="1">
      <c r="A64" s="333"/>
      <c r="B64" s="112" t="s">
        <v>117</v>
      </c>
      <c r="C64" s="113">
        <v>0</v>
      </c>
      <c r="D64" s="113">
        <v>547.75</v>
      </c>
      <c r="E64" s="113">
        <v>0</v>
      </c>
      <c r="F64" s="113">
        <v>0</v>
      </c>
      <c r="G64" s="113">
        <v>0</v>
      </c>
      <c r="H64" s="113">
        <v>0</v>
      </c>
      <c r="I64" s="267">
        <f t="shared" si="4"/>
        <v>547.75</v>
      </c>
    </row>
    <row r="65" spans="1:9" ht="12.75" thickBot="1">
      <c r="A65" s="334"/>
      <c r="B65" s="114" t="s">
        <v>80</v>
      </c>
      <c r="C65" s="278">
        <f aca="true" t="shared" si="7" ref="C65:H65">SUM(C60:C64)</f>
        <v>143.5</v>
      </c>
      <c r="D65" s="278">
        <f t="shared" si="7"/>
        <v>2191</v>
      </c>
      <c r="E65" s="278">
        <f t="shared" si="7"/>
        <v>0</v>
      </c>
      <c r="F65" s="278">
        <f t="shared" si="7"/>
        <v>0</v>
      </c>
      <c r="G65" s="278">
        <f t="shared" si="7"/>
        <v>0</v>
      </c>
      <c r="H65" s="278">
        <f t="shared" si="7"/>
        <v>752.79</v>
      </c>
      <c r="I65" s="270">
        <f t="shared" si="4"/>
        <v>3087.29</v>
      </c>
    </row>
    <row r="66" spans="1:9" ht="12">
      <c r="A66" s="335" t="s">
        <v>129</v>
      </c>
      <c r="B66" s="115" t="s">
        <v>82</v>
      </c>
      <c r="C66" s="255">
        <v>0</v>
      </c>
      <c r="D66" s="255">
        <v>0</v>
      </c>
      <c r="E66" s="255">
        <v>0</v>
      </c>
      <c r="F66" s="255">
        <v>0</v>
      </c>
      <c r="G66" s="255">
        <v>0</v>
      </c>
      <c r="H66" s="255">
        <v>0</v>
      </c>
      <c r="I66" s="271">
        <f t="shared" si="4"/>
        <v>0</v>
      </c>
    </row>
    <row r="67" spans="1:9" ht="12">
      <c r="A67" s="325"/>
      <c r="B67" s="116" t="s">
        <v>83</v>
      </c>
      <c r="C67" s="105">
        <v>205</v>
      </c>
      <c r="D67" s="105">
        <v>3742.32</v>
      </c>
      <c r="E67" s="105">
        <v>192.06</v>
      </c>
      <c r="F67" s="105">
        <v>3506.15</v>
      </c>
      <c r="G67" s="105">
        <v>70.6</v>
      </c>
      <c r="H67" s="250">
        <v>1300.1</v>
      </c>
      <c r="I67" s="265">
        <f t="shared" si="4"/>
        <v>9016.230000000001</v>
      </c>
    </row>
    <row r="68" spans="1:9" ht="12">
      <c r="A68" s="325"/>
      <c r="B68" s="117" t="s">
        <v>84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250">
        <v>0</v>
      </c>
      <c r="I68" s="265">
        <f aca="true" t="shared" si="8" ref="I68:I99">SUM(C68:H68)</f>
        <v>0</v>
      </c>
    </row>
    <row r="69" spans="1:9" ht="12">
      <c r="A69" s="325"/>
      <c r="B69" s="117" t="s">
        <v>101</v>
      </c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250">
        <v>0</v>
      </c>
      <c r="I69" s="265">
        <f t="shared" si="8"/>
        <v>0</v>
      </c>
    </row>
    <row r="70" spans="1:9" ht="12">
      <c r="A70" s="325"/>
      <c r="B70" s="117" t="s">
        <v>102</v>
      </c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250">
        <v>0</v>
      </c>
      <c r="I70" s="265">
        <f t="shared" si="8"/>
        <v>0</v>
      </c>
    </row>
    <row r="71" spans="1:9" ht="12">
      <c r="A71" s="325"/>
      <c r="B71" s="117" t="s">
        <v>117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250">
        <v>0</v>
      </c>
      <c r="I71" s="265">
        <f t="shared" si="8"/>
        <v>0</v>
      </c>
    </row>
    <row r="72" spans="1:9" ht="12.75" customHeight="1">
      <c r="A72" s="325"/>
      <c r="B72" s="117" t="s">
        <v>118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250">
        <v>0</v>
      </c>
      <c r="I72" s="265">
        <f t="shared" si="8"/>
        <v>0</v>
      </c>
    </row>
    <row r="73" spans="1:9" ht="12">
      <c r="A73" s="325"/>
      <c r="B73" s="117" t="s">
        <v>119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250">
        <v>0</v>
      </c>
      <c r="I73" s="265">
        <f t="shared" si="8"/>
        <v>0</v>
      </c>
    </row>
    <row r="74" spans="1:9" ht="12">
      <c r="A74" s="325"/>
      <c r="B74" s="117" t="s">
        <v>120</v>
      </c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250">
        <v>0</v>
      </c>
      <c r="I74" s="265">
        <f t="shared" si="8"/>
        <v>0</v>
      </c>
    </row>
    <row r="75" spans="1:9" ht="12">
      <c r="A75" s="325"/>
      <c r="B75" s="117" t="s">
        <v>123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250">
        <v>0</v>
      </c>
      <c r="I75" s="265">
        <f t="shared" si="8"/>
        <v>0</v>
      </c>
    </row>
    <row r="76" spans="1:9" ht="12.75" thickBot="1">
      <c r="A76" s="325"/>
      <c r="B76" s="118" t="s">
        <v>122</v>
      </c>
      <c r="C76" s="251">
        <v>0</v>
      </c>
      <c r="D76" s="251">
        <v>0</v>
      </c>
      <c r="E76" s="251">
        <v>0</v>
      </c>
      <c r="F76" s="251">
        <v>0</v>
      </c>
      <c r="G76" s="251">
        <v>0</v>
      </c>
      <c r="H76" s="252">
        <v>0</v>
      </c>
      <c r="I76" s="267">
        <f t="shared" si="8"/>
        <v>0</v>
      </c>
    </row>
    <row r="77" spans="1:9" ht="12.75" thickBot="1">
      <c r="A77" s="324"/>
      <c r="B77" s="119" t="s">
        <v>80</v>
      </c>
      <c r="C77" s="262">
        <f aca="true" t="shared" si="9" ref="C77:H77">SUM(C66:C76)</f>
        <v>205</v>
      </c>
      <c r="D77" s="262">
        <f t="shared" si="9"/>
        <v>3742.32</v>
      </c>
      <c r="E77" s="262">
        <f t="shared" si="9"/>
        <v>192.06</v>
      </c>
      <c r="F77" s="262">
        <f t="shared" si="9"/>
        <v>3506.15</v>
      </c>
      <c r="G77" s="262">
        <f t="shared" si="9"/>
        <v>70.6</v>
      </c>
      <c r="H77" s="262">
        <f t="shared" si="9"/>
        <v>1300.1</v>
      </c>
      <c r="I77" s="263">
        <f t="shared" si="8"/>
        <v>9016.230000000001</v>
      </c>
    </row>
    <row r="78" spans="1:9" ht="12">
      <c r="A78" s="326" t="s">
        <v>90</v>
      </c>
      <c r="B78" s="102" t="s">
        <v>82</v>
      </c>
      <c r="C78" s="253">
        <v>0</v>
      </c>
      <c r="D78" s="253">
        <v>0</v>
      </c>
      <c r="E78" s="253">
        <v>0</v>
      </c>
      <c r="F78" s="253">
        <v>0</v>
      </c>
      <c r="G78" s="253">
        <v>0</v>
      </c>
      <c r="H78" s="253">
        <v>0</v>
      </c>
      <c r="I78" s="264">
        <f t="shared" si="8"/>
        <v>0</v>
      </c>
    </row>
    <row r="79" spans="1:9" ht="12.75" customHeight="1">
      <c r="A79" s="327"/>
      <c r="B79" s="96" t="s">
        <v>83</v>
      </c>
      <c r="C79" s="105">
        <v>70</v>
      </c>
      <c r="D79" s="105">
        <v>490.51</v>
      </c>
      <c r="E79" s="105">
        <v>782.08</v>
      </c>
      <c r="F79" s="105">
        <v>6197.98</v>
      </c>
      <c r="G79" s="105">
        <v>163.52</v>
      </c>
      <c r="H79" s="105">
        <v>1295.9</v>
      </c>
      <c r="I79" s="265">
        <f t="shared" si="8"/>
        <v>8999.99</v>
      </c>
    </row>
    <row r="80" spans="1:9" ht="12">
      <c r="A80" s="327"/>
      <c r="B80" s="97" t="s">
        <v>87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265">
        <f t="shared" si="8"/>
        <v>0</v>
      </c>
    </row>
    <row r="81" spans="1:9" ht="12">
      <c r="A81" s="327"/>
      <c r="B81" s="97" t="s">
        <v>101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265">
        <f t="shared" si="8"/>
        <v>0</v>
      </c>
    </row>
    <row r="82" spans="1:9" ht="12">
      <c r="A82" s="327"/>
      <c r="B82" s="97" t="s">
        <v>102</v>
      </c>
      <c r="C82" s="105"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265">
        <f t="shared" si="8"/>
        <v>0</v>
      </c>
    </row>
    <row r="83" spans="1:9" ht="12.75" thickBot="1">
      <c r="A83" s="327"/>
      <c r="B83" s="106" t="s">
        <v>117</v>
      </c>
      <c r="C83" s="107">
        <v>0</v>
      </c>
      <c r="D83" s="107">
        <v>0</v>
      </c>
      <c r="E83" s="107">
        <v>0</v>
      </c>
      <c r="F83" s="107">
        <v>0</v>
      </c>
      <c r="G83" s="107">
        <v>0</v>
      </c>
      <c r="H83" s="107">
        <v>0</v>
      </c>
      <c r="I83" s="268">
        <f t="shared" si="8"/>
        <v>0</v>
      </c>
    </row>
    <row r="84" spans="1:9" ht="12.75" thickBot="1">
      <c r="A84" s="336"/>
      <c r="B84" s="120" t="s">
        <v>80</v>
      </c>
      <c r="C84" s="277">
        <f aca="true" t="shared" si="10" ref="C84:H84">SUM(C78:C83)</f>
        <v>70</v>
      </c>
      <c r="D84" s="277">
        <f t="shared" si="10"/>
        <v>490.51</v>
      </c>
      <c r="E84" s="277">
        <f t="shared" si="10"/>
        <v>782.08</v>
      </c>
      <c r="F84" s="277">
        <f t="shared" si="10"/>
        <v>6197.98</v>
      </c>
      <c r="G84" s="277">
        <f t="shared" si="10"/>
        <v>163.52</v>
      </c>
      <c r="H84" s="277">
        <f t="shared" si="10"/>
        <v>1295.9</v>
      </c>
      <c r="I84" s="269">
        <f t="shared" si="8"/>
        <v>8999.99</v>
      </c>
    </row>
    <row r="85" spans="1:9" ht="12">
      <c r="A85" s="337" t="s">
        <v>130</v>
      </c>
      <c r="B85" s="121" t="s">
        <v>83</v>
      </c>
      <c r="C85" s="110">
        <v>0</v>
      </c>
      <c r="D85" s="110">
        <v>382.42</v>
      </c>
      <c r="E85" s="110">
        <v>0</v>
      </c>
      <c r="F85" s="110">
        <v>0</v>
      </c>
      <c r="G85" s="110">
        <v>92.46</v>
      </c>
      <c r="H85" s="110">
        <v>327.2</v>
      </c>
      <c r="I85" s="264">
        <f t="shared" si="8"/>
        <v>802.0799999999999</v>
      </c>
    </row>
    <row r="86" spans="1:9" ht="12.75" thickBot="1">
      <c r="A86" s="338"/>
      <c r="B86" s="122" t="s">
        <v>98</v>
      </c>
      <c r="C86" s="123">
        <v>0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  <c r="I86" s="267">
        <f t="shared" si="8"/>
        <v>0</v>
      </c>
    </row>
    <row r="87" spans="1:9" ht="12.75" thickBot="1">
      <c r="A87" s="338"/>
      <c r="B87" s="124" t="s">
        <v>80</v>
      </c>
      <c r="C87" s="125">
        <f aca="true" t="shared" si="11" ref="C87:H87">SUM(C85:C86)</f>
        <v>0</v>
      </c>
      <c r="D87" s="125">
        <f t="shared" si="11"/>
        <v>382.42</v>
      </c>
      <c r="E87" s="125">
        <f t="shared" si="11"/>
        <v>0</v>
      </c>
      <c r="F87" s="125">
        <f t="shared" si="11"/>
        <v>0</v>
      </c>
      <c r="G87" s="125">
        <f t="shared" si="11"/>
        <v>92.46</v>
      </c>
      <c r="H87" s="125">
        <f t="shared" si="11"/>
        <v>327.2</v>
      </c>
      <c r="I87" s="271">
        <f t="shared" si="8"/>
        <v>802.0799999999999</v>
      </c>
    </row>
    <row r="88" spans="1:9" ht="12">
      <c r="A88" s="339" t="s">
        <v>131</v>
      </c>
      <c r="B88" s="126" t="s">
        <v>132</v>
      </c>
      <c r="C88" s="110">
        <v>0</v>
      </c>
      <c r="D88" s="256">
        <v>0</v>
      </c>
      <c r="E88" s="110">
        <v>0</v>
      </c>
      <c r="F88" s="110">
        <v>0</v>
      </c>
      <c r="G88" s="110">
        <v>0</v>
      </c>
      <c r="H88" s="110">
        <v>0</v>
      </c>
      <c r="I88" s="264">
        <f t="shared" si="8"/>
        <v>0</v>
      </c>
    </row>
    <row r="89" spans="1:9" ht="12">
      <c r="A89" s="340"/>
      <c r="B89" s="127" t="s">
        <v>133</v>
      </c>
      <c r="C89" s="99">
        <v>0</v>
      </c>
      <c r="D89" s="257">
        <v>0</v>
      </c>
      <c r="E89" s="99">
        <v>0</v>
      </c>
      <c r="F89" s="99">
        <v>0</v>
      </c>
      <c r="G89" s="99">
        <v>0</v>
      </c>
      <c r="H89" s="99">
        <v>0</v>
      </c>
      <c r="I89" s="265">
        <f t="shared" si="8"/>
        <v>0</v>
      </c>
    </row>
    <row r="90" spans="1:9" ht="12">
      <c r="A90" s="340"/>
      <c r="B90" s="127" t="s">
        <v>126</v>
      </c>
      <c r="C90" s="99">
        <v>0</v>
      </c>
      <c r="D90" s="257">
        <v>0</v>
      </c>
      <c r="E90" s="99">
        <v>0</v>
      </c>
      <c r="F90" s="99">
        <v>0</v>
      </c>
      <c r="G90" s="99">
        <v>0</v>
      </c>
      <c r="H90" s="99">
        <v>0</v>
      </c>
      <c r="I90" s="265">
        <f t="shared" si="8"/>
        <v>0</v>
      </c>
    </row>
    <row r="91" spans="1:9" ht="12">
      <c r="A91" s="340"/>
      <c r="B91" s="127" t="s">
        <v>127</v>
      </c>
      <c r="C91" s="99">
        <v>0</v>
      </c>
      <c r="D91" s="257">
        <v>0</v>
      </c>
      <c r="E91" s="99">
        <v>0</v>
      </c>
      <c r="F91" s="99">
        <v>0</v>
      </c>
      <c r="G91" s="99">
        <v>0</v>
      </c>
      <c r="H91" s="99">
        <v>0</v>
      </c>
      <c r="I91" s="265">
        <f t="shared" si="8"/>
        <v>0</v>
      </c>
    </row>
    <row r="92" spans="1:9" ht="12.75" customHeight="1">
      <c r="A92" s="340"/>
      <c r="B92" s="127" t="s">
        <v>83</v>
      </c>
      <c r="C92" s="257">
        <v>110</v>
      </c>
      <c r="D92" s="258">
        <v>110</v>
      </c>
      <c r="E92" s="99">
        <v>0</v>
      </c>
      <c r="F92" s="99">
        <v>0</v>
      </c>
      <c r="G92" s="99">
        <v>0</v>
      </c>
      <c r="H92" s="99">
        <v>0</v>
      </c>
      <c r="I92" s="265">
        <f t="shared" si="8"/>
        <v>220</v>
      </c>
    </row>
    <row r="93" spans="1:9" ht="12.75">
      <c r="A93" s="340"/>
      <c r="B93" s="127" t="s">
        <v>87</v>
      </c>
      <c r="C93" s="99">
        <v>0</v>
      </c>
      <c r="D93" s="258">
        <v>235.2</v>
      </c>
      <c r="E93" s="99">
        <v>0</v>
      </c>
      <c r="F93" s="99">
        <v>0</v>
      </c>
      <c r="G93" s="99">
        <v>0</v>
      </c>
      <c r="H93" s="99">
        <v>0</v>
      </c>
      <c r="I93" s="265">
        <f t="shared" si="8"/>
        <v>235.2</v>
      </c>
    </row>
    <row r="94" spans="1:9" ht="12.75">
      <c r="A94" s="340"/>
      <c r="B94" s="127" t="s">
        <v>101</v>
      </c>
      <c r="C94" s="99">
        <v>0</v>
      </c>
      <c r="D94" s="258">
        <v>318.72</v>
      </c>
      <c r="E94" s="99">
        <v>0</v>
      </c>
      <c r="F94" s="99">
        <v>0</v>
      </c>
      <c r="G94" s="99">
        <v>0</v>
      </c>
      <c r="H94" s="99">
        <v>0</v>
      </c>
      <c r="I94" s="265">
        <f t="shared" si="8"/>
        <v>318.72</v>
      </c>
    </row>
    <row r="95" spans="1:9" ht="12.75">
      <c r="A95" s="340"/>
      <c r="B95" s="127" t="s">
        <v>102</v>
      </c>
      <c r="C95" s="99">
        <v>0</v>
      </c>
      <c r="D95" s="258">
        <v>318.72</v>
      </c>
      <c r="E95" s="99">
        <v>0</v>
      </c>
      <c r="F95" s="99">
        <v>0</v>
      </c>
      <c r="G95" s="99">
        <v>0</v>
      </c>
      <c r="H95" s="99">
        <v>0</v>
      </c>
      <c r="I95" s="265">
        <f t="shared" si="8"/>
        <v>318.72</v>
      </c>
    </row>
    <row r="96" spans="1:9" ht="12.75">
      <c r="A96" s="340"/>
      <c r="B96" s="127" t="s">
        <v>117</v>
      </c>
      <c r="C96" s="99">
        <v>0</v>
      </c>
      <c r="D96" s="258">
        <v>318.72</v>
      </c>
      <c r="E96" s="99">
        <v>0</v>
      </c>
      <c r="F96" s="99">
        <v>0</v>
      </c>
      <c r="G96" s="99">
        <v>0</v>
      </c>
      <c r="H96" s="99">
        <v>0</v>
      </c>
      <c r="I96" s="265">
        <f t="shared" si="8"/>
        <v>318.72</v>
      </c>
    </row>
    <row r="97" spans="1:9" ht="12.75">
      <c r="A97" s="340"/>
      <c r="B97" s="127" t="s">
        <v>118</v>
      </c>
      <c r="C97" s="99">
        <v>0</v>
      </c>
      <c r="D97" s="258">
        <v>318.72</v>
      </c>
      <c r="E97" s="99">
        <v>0</v>
      </c>
      <c r="F97" s="99">
        <v>0</v>
      </c>
      <c r="G97" s="99">
        <v>0</v>
      </c>
      <c r="H97" s="99">
        <v>0</v>
      </c>
      <c r="I97" s="265">
        <f t="shared" si="8"/>
        <v>318.72</v>
      </c>
    </row>
    <row r="98" spans="1:9" ht="12.75">
      <c r="A98" s="340"/>
      <c r="B98" s="127" t="s">
        <v>119</v>
      </c>
      <c r="C98" s="99">
        <v>0</v>
      </c>
      <c r="D98" s="258">
        <v>318.72</v>
      </c>
      <c r="E98" s="99">
        <v>0</v>
      </c>
      <c r="F98" s="99">
        <v>0</v>
      </c>
      <c r="G98" s="99">
        <v>0</v>
      </c>
      <c r="H98" s="99">
        <v>0</v>
      </c>
      <c r="I98" s="265">
        <f t="shared" si="8"/>
        <v>318.72</v>
      </c>
    </row>
    <row r="99" spans="1:9" ht="12.75">
      <c r="A99" s="340"/>
      <c r="B99" s="127" t="s">
        <v>120</v>
      </c>
      <c r="C99" s="99">
        <v>0</v>
      </c>
      <c r="D99" s="258">
        <v>318.72</v>
      </c>
      <c r="E99" s="99">
        <v>0</v>
      </c>
      <c r="F99" s="99">
        <v>0</v>
      </c>
      <c r="G99" s="99">
        <v>0</v>
      </c>
      <c r="H99" s="99">
        <v>0</v>
      </c>
      <c r="I99" s="265">
        <f t="shared" si="8"/>
        <v>318.72</v>
      </c>
    </row>
    <row r="100" spans="1:9" ht="12.75">
      <c r="A100" s="340"/>
      <c r="B100" s="127" t="s">
        <v>123</v>
      </c>
      <c r="C100" s="99">
        <v>0</v>
      </c>
      <c r="D100" s="258">
        <v>318.72</v>
      </c>
      <c r="E100" s="99">
        <v>0</v>
      </c>
      <c r="F100" s="99">
        <v>0</v>
      </c>
      <c r="G100" s="99">
        <v>0</v>
      </c>
      <c r="H100" s="99">
        <v>0</v>
      </c>
      <c r="I100" s="265">
        <f aca="true" t="shared" si="12" ref="I100:I131">SUM(C100:H100)</f>
        <v>318.72</v>
      </c>
    </row>
    <row r="101" spans="1:9" ht="12.75">
      <c r="A101" s="340"/>
      <c r="B101" s="127" t="s">
        <v>122</v>
      </c>
      <c r="C101" s="99">
        <v>0</v>
      </c>
      <c r="D101" s="258">
        <v>318.72</v>
      </c>
      <c r="E101" s="99">
        <v>0</v>
      </c>
      <c r="F101" s="99">
        <v>0</v>
      </c>
      <c r="G101" s="99">
        <v>0</v>
      </c>
      <c r="H101" s="99">
        <v>0</v>
      </c>
      <c r="I101" s="265">
        <f t="shared" si="12"/>
        <v>318.72</v>
      </c>
    </row>
    <row r="102" spans="1:9" ht="12.75">
      <c r="A102" s="340"/>
      <c r="B102" s="127" t="s">
        <v>134</v>
      </c>
      <c r="C102" s="99">
        <v>0</v>
      </c>
      <c r="D102" s="258">
        <v>318.72</v>
      </c>
      <c r="E102" s="99">
        <v>0</v>
      </c>
      <c r="F102" s="99">
        <v>0</v>
      </c>
      <c r="G102" s="99">
        <v>0</v>
      </c>
      <c r="H102" s="99">
        <v>0</v>
      </c>
      <c r="I102" s="265">
        <f t="shared" si="12"/>
        <v>318.72</v>
      </c>
    </row>
    <row r="103" spans="1:9" ht="12.75">
      <c r="A103" s="340"/>
      <c r="B103" s="127" t="s">
        <v>94</v>
      </c>
      <c r="C103" s="99">
        <v>0</v>
      </c>
      <c r="D103" s="258">
        <v>318.72</v>
      </c>
      <c r="E103" s="99">
        <v>0</v>
      </c>
      <c r="F103" s="99">
        <v>0</v>
      </c>
      <c r="G103" s="99">
        <v>0</v>
      </c>
      <c r="H103" s="99">
        <v>0</v>
      </c>
      <c r="I103" s="265">
        <f t="shared" si="12"/>
        <v>318.72</v>
      </c>
    </row>
    <row r="104" spans="1:9" ht="12.75">
      <c r="A104" s="340"/>
      <c r="B104" s="127" t="s">
        <v>95</v>
      </c>
      <c r="C104" s="99">
        <v>0</v>
      </c>
      <c r="D104" s="258">
        <v>318.72</v>
      </c>
      <c r="E104" s="99">
        <v>0</v>
      </c>
      <c r="F104" s="99">
        <v>0</v>
      </c>
      <c r="G104" s="99">
        <v>0</v>
      </c>
      <c r="H104" s="99">
        <v>0</v>
      </c>
      <c r="I104" s="265">
        <f t="shared" si="12"/>
        <v>318.72</v>
      </c>
    </row>
    <row r="105" spans="1:9" ht="12.75">
      <c r="A105" s="340"/>
      <c r="B105" s="127" t="s">
        <v>96</v>
      </c>
      <c r="C105" s="99">
        <v>0</v>
      </c>
      <c r="D105" s="258">
        <v>318.72</v>
      </c>
      <c r="E105" s="99">
        <v>0</v>
      </c>
      <c r="F105" s="99">
        <v>0</v>
      </c>
      <c r="G105" s="99">
        <v>0</v>
      </c>
      <c r="H105" s="99">
        <v>0</v>
      </c>
      <c r="I105" s="265">
        <f t="shared" si="12"/>
        <v>318.72</v>
      </c>
    </row>
    <row r="106" spans="1:9" ht="12.75" customHeight="1">
      <c r="A106" s="340"/>
      <c r="B106" s="127" t="s">
        <v>97</v>
      </c>
      <c r="C106" s="99">
        <v>0</v>
      </c>
      <c r="D106" s="258">
        <v>318.72</v>
      </c>
      <c r="E106" s="99">
        <v>0</v>
      </c>
      <c r="F106" s="99">
        <v>0</v>
      </c>
      <c r="G106" s="99">
        <v>0</v>
      </c>
      <c r="H106" s="99">
        <v>0</v>
      </c>
      <c r="I106" s="265">
        <f t="shared" si="12"/>
        <v>318.72</v>
      </c>
    </row>
    <row r="107" spans="1:9" ht="12.75">
      <c r="A107" s="340"/>
      <c r="B107" s="127" t="s">
        <v>135</v>
      </c>
      <c r="C107" s="99">
        <v>0</v>
      </c>
      <c r="D107" s="258">
        <v>318.72</v>
      </c>
      <c r="E107" s="99">
        <v>0</v>
      </c>
      <c r="F107" s="99">
        <v>0</v>
      </c>
      <c r="G107" s="99">
        <v>0</v>
      </c>
      <c r="H107" s="99">
        <v>0</v>
      </c>
      <c r="I107" s="265">
        <f t="shared" si="12"/>
        <v>318.72</v>
      </c>
    </row>
    <row r="108" spans="1:9" ht="12.75">
      <c r="A108" s="340"/>
      <c r="B108" s="127" t="s">
        <v>136</v>
      </c>
      <c r="C108" s="99">
        <v>0</v>
      </c>
      <c r="D108" s="258">
        <v>318.72</v>
      </c>
      <c r="E108" s="99">
        <v>0</v>
      </c>
      <c r="F108" s="99">
        <v>0</v>
      </c>
      <c r="G108" s="99">
        <v>0</v>
      </c>
      <c r="H108" s="99">
        <v>0</v>
      </c>
      <c r="I108" s="265">
        <f t="shared" si="12"/>
        <v>318.72</v>
      </c>
    </row>
    <row r="109" spans="1:9" ht="12.75">
      <c r="A109" s="340"/>
      <c r="B109" s="127" t="s">
        <v>137</v>
      </c>
      <c r="C109" s="99">
        <v>0</v>
      </c>
      <c r="D109" s="258">
        <v>318.72</v>
      </c>
      <c r="E109" s="99">
        <v>0</v>
      </c>
      <c r="F109" s="99">
        <v>0</v>
      </c>
      <c r="G109" s="99">
        <v>0</v>
      </c>
      <c r="H109" s="99">
        <v>0</v>
      </c>
      <c r="I109" s="265">
        <f t="shared" si="12"/>
        <v>318.72</v>
      </c>
    </row>
    <row r="110" spans="1:9" ht="13.5" thickBot="1">
      <c r="A110" s="340"/>
      <c r="B110" s="128" t="s">
        <v>138</v>
      </c>
      <c r="C110" s="123">
        <v>0</v>
      </c>
      <c r="D110" s="259">
        <v>318.72</v>
      </c>
      <c r="E110" s="123">
        <v>0</v>
      </c>
      <c r="F110" s="123">
        <v>0</v>
      </c>
      <c r="G110" s="123">
        <v>0</v>
      </c>
      <c r="H110" s="123">
        <v>0</v>
      </c>
      <c r="I110" s="267">
        <f t="shared" si="12"/>
        <v>318.72</v>
      </c>
    </row>
    <row r="111" spans="1:9" ht="12.75" thickBot="1">
      <c r="A111" s="341"/>
      <c r="B111" s="129" t="s">
        <v>80</v>
      </c>
      <c r="C111" s="130">
        <f aca="true" t="shared" si="13" ref="C111:H111">SUM(C88:C110)</f>
        <v>110</v>
      </c>
      <c r="D111" s="130">
        <f t="shared" si="13"/>
        <v>5763.440000000003</v>
      </c>
      <c r="E111" s="130">
        <f t="shared" si="13"/>
        <v>0</v>
      </c>
      <c r="F111" s="130">
        <f t="shared" si="13"/>
        <v>0</v>
      </c>
      <c r="G111" s="130">
        <f t="shared" si="13"/>
        <v>0</v>
      </c>
      <c r="H111" s="130">
        <f t="shared" si="13"/>
        <v>0</v>
      </c>
      <c r="I111" s="272">
        <f t="shared" si="12"/>
        <v>5873.440000000003</v>
      </c>
    </row>
    <row r="112" spans="1:9" ht="12">
      <c r="A112" s="351" t="s">
        <v>92</v>
      </c>
      <c r="B112" s="131" t="s">
        <v>82</v>
      </c>
      <c r="C112" s="253">
        <v>0</v>
      </c>
      <c r="D112" s="253">
        <v>0</v>
      </c>
      <c r="E112" s="253">
        <v>0</v>
      </c>
      <c r="F112" s="253">
        <v>0</v>
      </c>
      <c r="G112" s="253">
        <v>0</v>
      </c>
      <c r="H112" s="253">
        <v>0</v>
      </c>
      <c r="I112" s="264">
        <f t="shared" si="12"/>
        <v>0</v>
      </c>
    </row>
    <row r="113" spans="1:9" ht="12">
      <c r="A113" s="327"/>
      <c r="B113" s="132" t="s">
        <v>83</v>
      </c>
      <c r="C113" s="105">
        <v>304</v>
      </c>
      <c r="D113" s="105">
        <v>0</v>
      </c>
      <c r="E113" s="105">
        <v>0</v>
      </c>
      <c r="F113" s="105">
        <v>9309.16</v>
      </c>
      <c r="G113" s="105">
        <v>66</v>
      </c>
      <c r="H113" s="105">
        <v>1328.24</v>
      </c>
      <c r="I113" s="265">
        <f t="shared" si="12"/>
        <v>11007.4</v>
      </c>
    </row>
    <row r="114" spans="1:9" ht="12">
      <c r="A114" s="327"/>
      <c r="B114" s="133" t="s">
        <v>84</v>
      </c>
      <c r="C114" s="105">
        <v>0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265">
        <f t="shared" si="12"/>
        <v>0</v>
      </c>
    </row>
    <row r="115" spans="1:9" ht="12">
      <c r="A115" s="327"/>
      <c r="B115" s="133" t="s">
        <v>101</v>
      </c>
      <c r="C115" s="105">
        <v>0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265">
        <f t="shared" si="12"/>
        <v>0</v>
      </c>
    </row>
    <row r="116" spans="1:9" ht="12">
      <c r="A116" s="327"/>
      <c r="B116" s="133" t="s">
        <v>102</v>
      </c>
      <c r="C116" s="105">
        <v>0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265">
        <f t="shared" si="12"/>
        <v>0</v>
      </c>
    </row>
    <row r="117" spans="1:9" ht="12">
      <c r="A117" s="327"/>
      <c r="B117" s="133" t="s">
        <v>117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265">
        <f t="shared" si="12"/>
        <v>0</v>
      </c>
    </row>
    <row r="118" spans="1:9" ht="12">
      <c r="A118" s="327"/>
      <c r="B118" s="133" t="s">
        <v>118</v>
      </c>
      <c r="C118" s="105"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265">
        <f t="shared" si="12"/>
        <v>0</v>
      </c>
    </row>
    <row r="119" spans="1:9" ht="12">
      <c r="A119" s="327"/>
      <c r="B119" s="133" t="s">
        <v>119</v>
      </c>
      <c r="C119" s="105">
        <v>0</v>
      </c>
      <c r="D119" s="105">
        <v>0</v>
      </c>
      <c r="E119" s="105">
        <v>0</v>
      </c>
      <c r="F119" s="105">
        <v>0</v>
      </c>
      <c r="G119" s="105">
        <v>0</v>
      </c>
      <c r="H119" s="105">
        <v>0</v>
      </c>
      <c r="I119" s="265">
        <f t="shared" si="12"/>
        <v>0</v>
      </c>
    </row>
    <row r="120" spans="1:9" ht="12">
      <c r="A120" s="327"/>
      <c r="B120" s="133" t="s">
        <v>120</v>
      </c>
      <c r="C120" s="105">
        <v>0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265">
        <f t="shared" si="12"/>
        <v>0</v>
      </c>
    </row>
    <row r="121" spans="1:9" ht="12">
      <c r="A121" s="327"/>
      <c r="B121" s="133" t="s">
        <v>123</v>
      </c>
      <c r="C121" s="105"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265">
        <f t="shared" si="12"/>
        <v>0</v>
      </c>
    </row>
    <row r="122" spans="1:9" ht="12">
      <c r="A122" s="327"/>
      <c r="B122" s="133" t="s">
        <v>122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265">
        <f t="shared" si="12"/>
        <v>0</v>
      </c>
    </row>
    <row r="123" spans="1:9" ht="13.5" customHeight="1">
      <c r="A123" s="327"/>
      <c r="B123" s="133" t="s">
        <v>134</v>
      </c>
      <c r="C123" s="105"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265">
        <f t="shared" si="12"/>
        <v>0</v>
      </c>
    </row>
    <row r="124" spans="1:9" ht="12.75" thickBot="1">
      <c r="A124" s="327"/>
      <c r="B124" s="134" t="s">
        <v>94</v>
      </c>
      <c r="C124" s="107">
        <v>0</v>
      </c>
      <c r="D124" s="107">
        <v>0</v>
      </c>
      <c r="E124" s="107">
        <v>0</v>
      </c>
      <c r="F124" s="107">
        <v>0</v>
      </c>
      <c r="G124" s="107">
        <v>0</v>
      </c>
      <c r="H124" s="107">
        <v>0</v>
      </c>
      <c r="I124" s="268">
        <f t="shared" si="12"/>
        <v>0</v>
      </c>
    </row>
    <row r="125" spans="1:9" ht="13.5" customHeight="1" thickBot="1">
      <c r="A125" s="336"/>
      <c r="B125" s="114" t="s">
        <v>80</v>
      </c>
      <c r="C125" s="270">
        <f aca="true" t="shared" si="14" ref="C125:H125">SUM(C112:C124)</f>
        <v>304</v>
      </c>
      <c r="D125" s="270">
        <f t="shared" si="14"/>
        <v>0</v>
      </c>
      <c r="E125" s="270">
        <f t="shared" si="14"/>
        <v>0</v>
      </c>
      <c r="F125" s="270">
        <f t="shared" si="14"/>
        <v>9309.16</v>
      </c>
      <c r="G125" s="270">
        <f t="shared" si="14"/>
        <v>66</v>
      </c>
      <c r="H125" s="270">
        <f t="shared" si="14"/>
        <v>1328.24</v>
      </c>
      <c r="I125" s="270">
        <f t="shared" si="12"/>
        <v>11007.4</v>
      </c>
    </row>
    <row r="126" spans="1:9" ht="12">
      <c r="A126" s="352" t="s">
        <v>91</v>
      </c>
      <c r="B126" s="135" t="s">
        <v>82</v>
      </c>
      <c r="C126" s="255">
        <v>0</v>
      </c>
      <c r="D126" s="255">
        <v>0</v>
      </c>
      <c r="E126" s="255">
        <v>0</v>
      </c>
      <c r="F126" s="255">
        <v>0</v>
      </c>
      <c r="G126" s="255">
        <v>0</v>
      </c>
      <c r="H126" s="255">
        <v>0</v>
      </c>
      <c r="I126" s="273">
        <f t="shared" si="12"/>
        <v>0</v>
      </c>
    </row>
    <row r="127" spans="1:9" ht="12.75" customHeight="1">
      <c r="A127" s="353"/>
      <c r="B127" s="136" t="s">
        <v>83</v>
      </c>
      <c r="C127" s="105">
        <v>288.13</v>
      </c>
      <c r="D127" s="105">
        <v>1488.95</v>
      </c>
      <c r="E127" s="105">
        <v>0</v>
      </c>
      <c r="F127" s="105">
        <v>4503.46</v>
      </c>
      <c r="G127" s="105">
        <v>55.47</v>
      </c>
      <c r="H127" s="105">
        <v>941.46</v>
      </c>
      <c r="I127" s="265">
        <f t="shared" si="12"/>
        <v>7277.47</v>
      </c>
    </row>
    <row r="128" spans="1:9" ht="12">
      <c r="A128" s="353"/>
      <c r="B128" s="137" t="s">
        <v>84</v>
      </c>
      <c r="C128" s="105"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265">
        <f t="shared" si="12"/>
        <v>0</v>
      </c>
    </row>
    <row r="129" spans="1:9" ht="12">
      <c r="A129" s="353"/>
      <c r="B129" s="137" t="s">
        <v>101</v>
      </c>
      <c r="C129" s="105"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265">
        <f t="shared" si="12"/>
        <v>0</v>
      </c>
    </row>
    <row r="130" spans="1:9" ht="13.5" customHeight="1">
      <c r="A130" s="353"/>
      <c r="B130" s="137" t="s">
        <v>102</v>
      </c>
      <c r="C130" s="105"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0</v>
      </c>
      <c r="I130" s="265">
        <f t="shared" si="12"/>
        <v>0</v>
      </c>
    </row>
    <row r="131" spans="1:9" ht="12">
      <c r="A131" s="353"/>
      <c r="B131" s="137" t="s">
        <v>117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265">
        <f t="shared" si="12"/>
        <v>0</v>
      </c>
    </row>
    <row r="132" spans="1:9" ht="12">
      <c r="A132" s="353"/>
      <c r="B132" s="137" t="s">
        <v>118</v>
      </c>
      <c r="C132" s="105">
        <v>0</v>
      </c>
      <c r="D132" s="105">
        <v>0</v>
      </c>
      <c r="E132" s="105">
        <v>0</v>
      </c>
      <c r="F132" s="105">
        <v>0</v>
      </c>
      <c r="G132" s="105">
        <v>0</v>
      </c>
      <c r="H132" s="105">
        <v>0</v>
      </c>
      <c r="I132" s="265">
        <f aca="true" t="shared" si="15" ref="I132:I163">SUM(C132:H132)</f>
        <v>0</v>
      </c>
    </row>
    <row r="133" spans="1:9" ht="12">
      <c r="A133" s="353"/>
      <c r="B133" s="137" t="s">
        <v>119</v>
      </c>
      <c r="C133" s="105">
        <v>0</v>
      </c>
      <c r="D133" s="105">
        <v>0</v>
      </c>
      <c r="E133" s="105">
        <v>0</v>
      </c>
      <c r="F133" s="105">
        <v>0</v>
      </c>
      <c r="G133" s="105">
        <v>0</v>
      </c>
      <c r="H133" s="105">
        <v>0</v>
      </c>
      <c r="I133" s="265">
        <f t="shared" si="15"/>
        <v>0</v>
      </c>
    </row>
    <row r="134" spans="1:9" ht="12">
      <c r="A134" s="353"/>
      <c r="B134" s="137" t="s">
        <v>120</v>
      </c>
      <c r="C134" s="105">
        <v>0</v>
      </c>
      <c r="D134" s="105">
        <v>0</v>
      </c>
      <c r="E134" s="105">
        <v>0</v>
      </c>
      <c r="F134" s="105">
        <v>0</v>
      </c>
      <c r="G134" s="105">
        <v>0</v>
      </c>
      <c r="H134" s="105">
        <v>0</v>
      </c>
      <c r="I134" s="265">
        <f t="shared" si="15"/>
        <v>0</v>
      </c>
    </row>
    <row r="135" spans="1:9" ht="12">
      <c r="A135" s="353"/>
      <c r="B135" s="137" t="s">
        <v>123</v>
      </c>
      <c r="C135" s="105">
        <v>0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265">
        <f t="shared" si="15"/>
        <v>0</v>
      </c>
    </row>
    <row r="136" spans="1:9" ht="12">
      <c r="A136" s="353"/>
      <c r="B136" s="137" t="s">
        <v>122</v>
      </c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05">
        <v>0</v>
      </c>
      <c r="I136" s="265">
        <f t="shared" si="15"/>
        <v>0</v>
      </c>
    </row>
    <row r="137" spans="1:9" ht="12.75" thickBot="1">
      <c r="A137" s="353"/>
      <c r="B137" s="138" t="s">
        <v>134</v>
      </c>
      <c r="C137" s="251">
        <v>0</v>
      </c>
      <c r="D137" s="251">
        <v>0</v>
      </c>
      <c r="E137" s="251">
        <v>0</v>
      </c>
      <c r="F137" s="251">
        <v>0</v>
      </c>
      <c r="G137" s="251">
        <v>0</v>
      </c>
      <c r="H137" s="251">
        <v>0</v>
      </c>
      <c r="I137" s="267">
        <f t="shared" si="15"/>
        <v>0</v>
      </c>
    </row>
    <row r="138" spans="1:9" ht="12.75" thickBot="1">
      <c r="A138" s="336"/>
      <c r="B138" s="139" t="s">
        <v>80</v>
      </c>
      <c r="C138" s="279">
        <f aca="true" t="shared" si="16" ref="C138:H138">SUM(C126:C137)</f>
        <v>288.13</v>
      </c>
      <c r="D138" s="279">
        <f t="shared" si="16"/>
        <v>1488.95</v>
      </c>
      <c r="E138" s="279">
        <f t="shared" si="16"/>
        <v>0</v>
      </c>
      <c r="F138" s="279">
        <f t="shared" si="16"/>
        <v>4503.46</v>
      </c>
      <c r="G138" s="279">
        <f t="shared" si="16"/>
        <v>55.47</v>
      </c>
      <c r="H138" s="279">
        <f t="shared" si="16"/>
        <v>941.46</v>
      </c>
      <c r="I138" s="272">
        <f t="shared" si="15"/>
        <v>7277.47</v>
      </c>
    </row>
    <row r="139" spans="1:9" ht="12">
      <c r="A139" s="326" t="s">
        <v>93</v>
      </c>
      <c r="B139" s="131" t="s">
        <v>82</v>
      </c>
      <c r="C139" s="253">
        <v>0</v>
      </c>
      <c r="D139" s="253">
        <v>0</v>
      </c>
      <c r="E139" s="253">
        <v>0</v>
      </c>
      <c r="F139" s="253">
        <v>0</v>
      </c>
      <c r="G139" s="253">
        <v>0</v>
      </c>
      <c r="H139" s="253">
        <v>0</v>
      </c>
      <c r="I139" s="264">
        <f t="shared" si="15"/>
        <v>0</v>
      </c>
    </row>
    <row r="140" spans="1:9" ht="12">
      <c r="A140" s="327"/>
      <c r="B140" s="132" t="s">
        <v>83</v>
      </c>
      <c r="C140" s="105">
        <v>92.2</v>
      </c>
      <c r="D140" s="105">
        <v>2902.48</v>
      </c>
      <c r="E140" s="105">
        <v>0</v>
      </c>
      <c r="F140" s="105">
        <v>0</v>
      </c>
      <c r="G140" s="105">
        <v>68.23</v>
      </c>
      <c r="H140" s="105">
        <v>1527.77</v>
      </c>
      <c r="I140" s="265">
        <f t="shared" si="15"/>
        <v>4590.68</v>
      </c>
    </row>
    <row r="141" spans="1:9" ht="12.75" customHeight="1">
      <c r="A141" s="327"/>
      <c r="B141" s="133" t="s">
        <v>84</v>
      </c>
      <c r="C141" s="105"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265">
        <f t="shared" si="15"/>
        <v>0</v>
      </c>
    </row>
    <row r="142" spans="1:9" ht="12">
      <c r="A142" s="327"/>
      <c r="B142" s="133" t="s">
        <v>101</v>
      </c>
      <c r="C142" s="105">
        <v>0</v>
      </c>
      <c r="D142" s="105">
        <v>0</v>
      </c>
      <c r="E142" s="105">
        <v>0</v>
      </c>
      <c r="F142" s="105">
        <v>0</v>
      </c>
      <c r="G142" s="105">
        <v>0</v>
      </c>
      <c r="H142" s="105">
        <v>0</v>
      </c>
      <c r="I142" s="265">
        <f t="shared" si="15"/>
        <v>0</v>
      </c>
    </row>
    <row r="143" spans="1:9" ht="12">
      <c r="A143" s="327"/>
      <c r="B143" s="133" t="s">
        <v>102</v>
      </c>
      <c r="C143" s="105"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265">
        <f t="shared" si="15"/>
        <v>0</v>
      </c>
    </row>
    <row r="144" spans="1:9" ht="12.75" customHeight="1">
      <c r="A144" s="327"/>
      <c r="B144" s="133" t="s">
        <v>117</v>
      </c>
      <c r="C144" s="105">
        <v>0</v>
      </c>
      <c r="D144" s="105">
        <v>0</v>
      </c>
      <c r="E144" s="105">
        <v>0</v>
      </c>
      <c r="F144" s="105">
        <v>0</v>
      </c>
      <c r="G144" s="105">
        <v>0</v>
      </c>
      <c r="H144" s="105">
        <v>0</v>
      </c>
      <c r="I144" s="265">
        <f t="shared" si="15"/>
        <v>0</v>
      </c>
    </row>
    <row r="145" spans="1:9" ht="12">
      <c r="A145" s="327"/>
      <c r="B145" s="133" t="s">
        <v>118</v>
      </c>
      <c r="C145" s="105">
        <v>0</v>
      </c>
      <c r="D145" s="105">
        <v>0</v>
      </c>
      <c r="E145" s="105">
        <v>0</v>
      </c>
      <c r="F145" s="105">
        <v>0</v>
      </c>
      <c r="G145" s="105">
        <v>0</v>
      </c>
      <c r="H145" s="105">
        <v>0</v>
      </c>
      <c r="I145" s="265">
        <f t="shared" si="15"/>
        <v>0</v>
      </c>
    </row>
    <row r="146" spans="1:9" ht="12">
      <c r="A146" s="327"/>
      <c r="B146" s="133" t="s">
        <v>119</v>
      </c>
      <c r="C146" s="105"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265">
        <f t="shared" si="15"/>
        <v>0</v>
      </c>
    </row>
    <row r="147" spans="1:9" ht="12">
      <c r="A147" s="327"/>
      <c r="B147" s="133" t="s">
        <v>120</v>
      </c>
      <c r="C147" s="105">
        <v>0</v>
      </c>
      <c r="D147" s="105">
        <v>0</v>
      </c>
      <c r="E147" s="105">
        <v>0</v>
      </c>
      <c r="F147" s="105">
        <v>0</v>
      </c>
      <c r="G147" s="105">
        <v>0</v>
      </c>
      <c r="H147" s="105">
        <v>0</v>
      </c>
      <c r="I147" s="265">
        <f t="shared" si="15"/>
        <v>0</v>
      </c>
    </row>
    <row r="148" spans="1:9" ht="12">
      <c r="A148" s="327"/>
      <c r="B148" s="133" t="s">
        <v>123</v>
      </c>
      <c r="C148" s="105">
        <v>0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265">
        <f t="shared" si="15"/>
        <v>0</v>
      </c>
    </row>
    <row r="149" spans="1:9" ht="12">
      <c r="A149" s="327"/>
      <c r="B149" s="133" t="s">
        <v>122</v>
      </c>
      <c r="C149" s="105">
        <v>0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265">
        <f t="shared" si="15"/>
        <v>0</v>
      </c>
    </row>
    <row r="150" spans="1:9" ht="12">
      <c r="A150" s="327"/>
      <c r="B150" s="133" t="s">
        <v>134</v>
      </c>
      <c r="C150" s="105">
        <v>0</v>
      </c>
      <c r="D150" s="105">
        <v>0</v>
      </c>
      <c r="E150" s="105">
        <v>0</v>
      </c>
      <c r="F150" s="105">
        <v>0</v>
      </c>
      <c r="G150" s="105">
        <v>0</v>
      </c>
      <c r="H150" s="105">
        <v>0</v>
      </c>
      <c r="I150" s="265">
        <f t="shared" si="15"/>
        <v>0</v>
      </c>
    </row>
    <row r="151" spans="1:9" ht="12.75" customHeight="1">
      <c r="A151" s="327"/>
      <c r="B151" s="133" t="s">
        <v>94</v>
      </c>
      <c r="C151" s="105">
        <v>0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265">
        <f t="shared" si="15"/>
        <v>0</v>
      </c>
    </row>
    <row r="152" spans="1:9" ht="12">
      <c r="A152" s="327"/>
      <c r="B152" s="133" t="s">
        <v>95</v>
      </c>
      <c r="C152" s="105"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265">
        <f t="shared" si="15"/>
        <v>0</v>
      </c>
    </row>
    <row r="153" spans="1:9" ht="12">
      <c r="A153" s="327"/>
      <c r="B153" s="133" t="s">
        <v>96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0</v>
      </c>
      <c r="I153" s="265">
        <f t="shared" si="15"/>
        <v>0</v>
      </c>
    </row>
    <row r="154" spans="1:9" ht="12.75" thickBot="1">
      <c r="A154" s="327"/>
      <c r="B154" s="140" t="s">
        <v>97</v>
      </c>
      <c r="C154" s="251">
        <v>0</v>
      </c>
      <c r="D154" s="251">
        <v>0</v>
      </c>
      <c r="E154" s="251">
        <v>0</v>
      </c>
      <c r="F154" s="251">
        <v>0</v>
      </c>
      <c r="G154" s="251">
        <v>0</v>
      </c>
      <c r="H154" s="251">
        <v>0</v>
      </c>
      <c r="I154" s="267">
        <f t="shared" si="15"/>
        <v>0</v>
      </c>
    </row>
    <row r="155" spans="1:9" ht="12.75" thickBot="1">
      <c r="A155" s="328"/>
      <c r="B155" s="141" t="s">
        <v>80</v>
      </c>
      <c r="C155" s="263">
        <f aca="true" t="shared" si="17" ref="C155:H155">SUM(C139:C154)</f>
        <v>92.2</v>
      </c>
      <c r="D155" s="263">
        <f t="shared" si="17"/>
        <v>2902.48</v>
      </c>
      <c r="E155" s="263">
        <f t="shared" si="17"/>
        <v>0</v>
      </c>
      <c r="F155" s="263">
        <f t="shared" si="17"/>
        <v>0</v>
      </c>
      <c r="G155" s="263">
        <f t="shared" si="17"/>
        <v>68.23</v>
      </c>
      <c r="H155" s="263">
        <f t="shared" si="17"/>
        <v>1527.77</v>
      </c>
      <c r="I155" s="270">
        <f t="shared" si="15"/>
        <v>4590.68</v>
      </c>
    </row>
    <row r="156" spans="1:9" ht="12.75" thickBot="1">
      <c r="A156" s="332" t="s">
        <v>139</v>
      </c>
      <c r="B156" s="142" t="s">
        <v>83</v>
      </c>
      <c r="C156" s="143">
        <v>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263">
        <f t="shared" si="15"/>
        <v>0</v>
      </c>
    </row>
    <row r="157" spans="1:9" ht="12.75" thickBot="1">
      <c r="A157" s="341"/>
      <c r="B157" s="144" t="s">
        <v>80</v>
      </c>
      <c r="C157" s="280">
        <f aca="true" t="shared" si="18" ref="C157:H157">SUM(C156)</f>
        <v>0</v>
      </c>
      <c r="D157" s="280">
        <f t="shared" si="18"/>
        <v>0</v>
      </c>
      <c r="E157" s="280">
        <f t="shared" si="18"/>
        <v>0</v>
      </c>
      <c r="F157" s="280">
        <f t="shared" si="18"/>
        <v>0</v>
      </c>
      <c r="G157" s="280">
        <f t="shared" si="18"/>
        <v>0</v>
      </c>
      <c r="H157" s="280">
        <f t="shared" si="18"/>
        <v>0</v>
      </c>
      <c r="I157" s="270">
        <f t="shared" si="15"/>
        <v>0</v>
      </c>
    </row>
    <row r="158" spans="1:9" ht="12">
      <c r="A158" s="358" t="s">
        <v>140</v>
      </c>
      <c r="B158" s="145" t="s">
        <v>82</v>
      </c>
      <c r="C158" s="253">
        <v>0</v>
      </c>
      <c r="D158" s="253">
        <v>0</v>
      </c>
      <c r="E158" s="253">
        <v>0</v>
      </c>
      <c r="F158" s="253">
        <v>0</v>
      </c>
      <c r="G158" s="253">
        <v>0</v>
      </c>
      <c r="H158" s="253">
        <v>0</v>
      </c>
      <c r="I158" s="264">
        <f t="shared" si="15"/>
        <v>0</v>
      </c>
    </row>
    <row r="159" spans="1:9" ht="12">
      <c r="A159" s="346"/>
      <c r="B159" s="146" t="s">
        <v>100</v>
      </c>
      <c r="C159" s="105">
        <v>380.49</v>
      </c>
      <c r="D159" s="105">
        <v>2916.81</v>
      </c>
      <c r="E159" s="105">
        <v>0</v>
      </c>
      <c r="F159" s="105">
        <v>110</v>
      </c>
      <c r="G159" s="105">
        <v>160.24</v>
      </c>
      <c r="H159" s="105">
        <v>1225.67</v>
      </c>
      <c r="I159" s="265">
        <f t="shared" si="15"/>
        <v>4793.21</v>
      </c>
    </row>
    <row r="160" spans="1:9" ht="12">
      <c r="A160" s="346"/>
      <c r="B160" s="146" t="s">
        <v>99</v>
      </c>
      <c r="C160" s="105">
        <v>0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265">
        <f t="shared" si="15"/>
        <v>0</v>
      </c>
    </row>
    <row r="161" spans="1:9" ht="12.75" customHeight="1">
      <c r="A161" s="346"/>
      <c r="B161" s="147" t="s">
        <v>87</v>
      </c>
      <c r="C161" s="105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265">
        <f t="shared" si="15"/>
        <v>0</v>
      </c>
    </row>
    <row r="162" spans="1:9" ht="12">
      <c r="A162" s="346"/>
      <c r="B162" s="148" t="s">
        <v>101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265">
        <f t="shared" si="15"/>
        <v>0</v>
      </c>
    </row>
    <row r="163" spans="1:9" ht="12">
      <c r="A163" s="346"/>
      <c r="B163" s="148" t="s">
        <v>102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265">
        <f t="shared" si="15"/>
        <v>0</v>
      </c>
    </row>
    <row r="164" spans="1:9" ht="12">
      <c r="A164" s="346"/>
      <c r="B164" s="148" t="s">
        <v>117</v>
      </c>
      <c r="C164" s="105">
        <v>0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265">
        <f aca="true" t="shared" si="19" ref="I164:I195">SUM(C164:H164)</f>
        <v>0</v>
      </c>
    </row>
    <row r="165" spans="1:9" ht="12.75" thickBot="1">
      <c r="A165" s="346"/>
      <c r="B165" s="149" t="s">
        <v>118</v>
      </c>
      <c r="C165" s="107">
        <v>0</v>
      </c>
      <c r="D165" s="107">
        <v>0</v>
      </c>
      <c r="E165" s="107">
        <v>0</v>
      </c>
      <c r="F165" s="107">
        <v>0</v>
      </c>
      <c r="G165" s="107">
        <v>0</v>
      </c>
      <c r="H165" s="107">
        <v>0</v>
      </c>
      <c r="I165" s="267">
        <f t="shared" si="19"/>
        <v>0</v>
      </c>
    </row>
    <row r="166" spans="1:9" ht="12.75" thickBot="1">
      <c r="A166" s="347"/>
      <c r="B166" s="150" t="s">
        <v>80</v>
      </c>
      <c r="C166" s="281">
        <f aca="true" t="shared" si="20" ref="C166:H166">SUM(C158:C165)</f>
        <v>380.49</v>
      </c>
      <c r="D166" s="281">
        <f t="shared" si="20"/>
        <v>2916.81</v>
      </c>
      <c r="E166" s="281">
        <f t="shared" si="20"/>
        <v>0</v>
      </c>
      <c r="F166" s="281">
        <f t="shared" si="20"/>
        <v>110</v>
      </c>
      <c r="G166" s="281">
        <f t="shared" si="20"/>
        <v>160.24</v>
      </c>
      <c r="H166" s="281">
        <f t="shared" si="20"/>
        <v>1225.67</v>
      </c>
      <c r="I166" s="267">
        <f t="shared" si="19"/>
        <v>4793.21</v>
      </c>
    </row>
    <row r="167" spans="1:9" ht="12.75" thickBot="1">
      <c r="A167" s="358" t="s">
        <v>141</v>
      </c>
      <c r="B167" s="151" t="s">
        <v>83</v>
      </c>
      <c r="C167" s="143">
        <v>110.638</v>
      </c>
      <c r="D167" s="143">
        <v>472.824</v>
      </c>
      <c r="E167" s="143">
        <v>0</v>
      </c>
      <c r="F167" s="143">
        <v>0</v>
      </c>
      <c r="G167" s="143">
        <v>445.907</v>
      </c>
      <c r="H167" s="143">
        <v>297.832</v>
      </c>
      <c r="I167" s="267">
        <f t="shared" si="19"/>
        <v>1327.201</v>
      </c>
    </row>
    <row r="168" spans="1:9" ht="12.75" thickBot="1">
      <c r="A168" s="347"/>
      <c r="B168" s="114" t="s">
        <v>80</v>
      </c>
      <c r="C168" s="263">
        <f aca="true" t="shared" si="21" ref="C168:H168">SUM(C167)</f>
        <v>110.638</v>
      </c>
      <c r="D168" s="263">
        <f t="shared" si="21"/>
        <v>472.824</v>
      </c>
      <c r="E168" s="263">
        <f t="shared" si="21"/>
        <v>0</v>
      </c>
      <c r="F168" s="263">
        <f t="shared" si="21"/>
        <v>0</v>
      </c>
      <c r="G168" s="263">
        <f t="shared" si="21"/>
        <v>445.907</v>
      </c>
      <c r="H168" s="263">
        <f t="shared" si="21"/>
        <v>297.832</v>
      </c>
      <c r="I168" s="267">
        <f t="shared" si="19"/>
        <v>1327.201</v>
      </c>
    </row>
    <row r="169" spans="1:9" ht="12.75" thickBot="1">
      <c r="A169" s="358" t="s">
        <v>142</v>
      </c>
      <c r="B169" s="152" t="s">
        <v>83</v>
      </c>
      <c r="C169" s="260">
        <v>0</v>
      </c>
      <c r="D169" s="260">
        <v>0</v>
      </c>
      <c r="E169" s="260">
        <v>0</v>
      </c>
      <c r="F169" s="260">
        <v>0</v>
      </c>
      <c r="G169" s="260">
        <v>0</v>
      </c>
      <c r="H169" s="260">
        <v>0</v>
      </c>
      <c r="I169" s="267">
        <f t="shared" si="19"/>
        <v>0</v>
      </c>
    </row>
    <row r="170" spans="1:9" ht="12.75" thickBot="1">
      <c r="A170" s="347"/>
      <c r="B170" s="153" t="s">
        <v>80</v>
      </c>
      <c r="C170" s="274">
        <f aca="true" t="shared" si="22" ref="C170:H170">SUM(C169)</f>
        <v>0</v>
      </c>
      <c r="D170" s="274">
        <f t="shared" si="22"/>
        <v>0</v>
      </c>
      <c r="E170" s="274">
        <f t="shared" si="22"/>
        <v>0</v>
      </c>
      <c r="F170" s="274">
        <f t="shared" si="22"/>
        <v>0</v>
      </c>
      <c r="G170" s="274">
        <f t="shared" si="22"/>
        <v>0</v>
      </c>
      <c r="H170" s="274">
        <f t="shared" si="22"/>
        <v>0</v>
      </c>
      <c r="I170" s="274">
        <f t="shared" si="19"/>
        <v>0</v>
      </c>
    </row>
    <row r="171" spans="1:9" ht="12">
      <c r="A171" s="359" t="s">
        <v>143</v>
      </c>
      <c r="B171" s="154" t="s">
        <v>83</v>
      </c>
      <c r="C171" s="254">
        <v>68.36</v>
      </c>
      <c r="D171" s="254">
        <v>171.25</v>
      </c>
      <c r="E171" s="253">
        <v>0</v>
      </c>
      <c r="F171" s="253">
        <v>0</v>
      </c>
      <c r="G171" s="253">
        <v>0</v>
      </c>
      <c r="H171" s="253">
        <v>440.94</v>
      </c>
      <c r="I171" s="264">
        <f t="shared" si="19"/>
        <v>680.55</v>
      </c>
    </row>
    <row r="172" spans="1:9" ht="12.75" thickBot="1">
      <c r="A172" s="360"/>
      <c r="B172" s="155" t="s">
        <v>98</v>
      </c>
      <c r="C172" s="250">
        <v>0</v>
      </c>
      <c r="D172" s="105">
        <v>0</v>
      </c>
      <c r="E172" s="250">
        <v>0</v>
      </c>
      <c r="F172" s="105">
        <v>0</v>
      </c>
      <c r="G172" s="105">
        <v>0</v>
      </c>
      <c r="H172" s="105">
        <v>0</v>
      </c>
      <c r="I172" s="267">
        <f t="shared" si="19"/>
        <v>0</v>
      </c>
    </row>
    <row r="173" spans="1:9" ht="12.75" thickBot="1">
      <c r="A173" s="361"/>
      <c r="B173" s="156" t="s">
        <v>80</v>
      </c>
      <c r="C173" s="282">
        <f aca="true" t="shared" si="23" ref="C173:H173">SUM(C171:C172)</f>
        <v>68.36</v>
      </c>
      <c r="D173" s="282">
        <f t="shared" si="23"/>
        <v>171.25</v>
      </c>
      <c r="E173" s="282">
        <f t="shared" si="23"/>
        <v>0</v>
      </c>
      <c r="F173" s="282">
        <f t="shared" si="23"/>
        <v>0</v>
      </c>
      <c r="G173" s="282">
        <f t="shared" si="23"/>
        <v>0</v>
      </c>
      <c r="H173" s="282">
        <f t="shared" si="23"/>
        <v>440.94</v>
      </c>
      <c r="I173" s="270">
        <f t="shared" si="19"/>
        <v>680.55</v>
      </c>
    </row>
    <row r="174" spans="1:9" ht="12.75" thickBot="1">
      <c r="A174" s="323" t="s">
        <v>144</v>
      </c>
      <c r="B174" s="157" t="s">
        <v>83</v>
      </c>
      <c r="C174" s="261">
        <v>0</v>
      </c>
      <c r="D174" s="261">
        <v>0</v>
      </c>
      <c r="E174" s="261">
        <v>0</v>
      </c>
      <c r="F174" s="261">
        <v>0</v>
      </c>
      <c r="G174" s="261">
        <v>0</v>
      </c>
      <c r="H174" s="261">
        <v>0</v>
      </c>
      <c r="I174" s="270">
        <f t="shared" si="19"/>
        <v>0</v>
      </c>
    </row>
    <row r="175" spans="1:9" ht="12.75" thickBot="1">
      <c r="A175" s="324"/>
      <c r="B175" s="158" t="s">
        <v>80</v>
      </c>
      <c r="C175" s="283">
        <f aca="true" t="shared" si="24" ref="C175:H175">SUM(C174)</f>
        <v>0</v>
      </c>
      <c r="D175" s="283">
        <f t="shared" si="24"/>
        <v>0</v>
      </c>
      <c r="E175" s="283">
        <f t="shared" si="24"/>
        <v>0</v>
      </c>
      <c r="F175" s="283">
        <f t="shared" si="24"/>
        <v>0</v>
      </c>
      <c r="G175" s="283">
        <f t="shared" si="24"/>
        <v>0</v>
      </c>
      <c r="H175" s="283">
        <f t="shared" si="24"/>
        <v>0</v>
      </c>
      <c r="I175" s="263">
        <f t="shared" si="19"/>
        <v>0</v>
      </c>
    </row>
    <row r="176" spans="1:9" ht="12">
      <c r="A176" s="323" t="s">
        <v>145</v>
      </c>
      <c r="B176" s="159" t="s">
        <v>83</v>
      </c>
      <c r="C176" s="253">
        <v>27.75</v>
      </c>
      <c r="D176" s="253">
        <v>0</v>
      </c>
      <c r="E176" s="253">
        <v>0</v>
      </c>
      <c r="F176" s="253">
        <v>0</v>
      </c>
      <c r="G176" s="253">
        <v>54.12</v>
      </c>
      <c r="H176" s="253">
        <v>164.33</v>
      </c>
      <c r="I176" s="264">
        <f t="shared" si="19"/>
        <v>246.20000000000002</v>
      </c>
    </row>
    <row r="177" spans="1:9" ht="12.75" thickBot="1">
      <c r="A177" s="325"/>
      <c r="B177" s="140" t="s">
        <v>98</v>
      </c>
      <c r="C177" s="251">
        <v>0</v>
      </c>
      <c r="D177" s="251">
        <v>0</v>
      </c>
      <c r="E177" s="251">
        <v>0</v>
      </c>
      <c r="F177" s="251">
        <v>0</v>
      </c>
      <c r="G177" s="251">
        <v>0</v>
      </c>
      <c r="H177" s="251">
        <v>0</v>
      </c>
      <c r="I177" s="267">
        <f t="shared" si="19"/>
        <v>0</v>
      </c>
    </row>
    <row r="178" spans="1:9" ht="12.75" thickBot="1">
      <c r="A178" s="324"/>
      <c r="B178" s="160" t="s">
        <v>80</v>
      </c>
      <c r="C178" s="263">
        <f aca="true" t="shared" si="25" ref="C178:H178">SUM(C176:C177)</f>
        <v>27.75</v>
      </c>
      <c r="D178" s="263">
        <f t="shared" si="25"/>
        <v>0</v>
      </c>
      <c r="E178" s="263">
        <f t="shared" si="25"/>
        <v>0</v>
      </c>
      <c r="F178" s="263">
        <f t="shared" si="25"/>
        <v>0</v>
      </c>
      <c r="G178" s="263">
        <f t="shared" si="25"/>
        <v>54.12</v>
      </c>
      <c r="H178" s="263">
        <f t="shared" si="25"/>
        <v>164.33</v>
      </c>
      <c r="I178" s="263">
        <f t="shared" si="19"/>
        <v>246.20000000000002</v>
      </c>
    </row>
    <row r="179" spans="1:9" ht="12">
      <c r="A179" s="326" t="s">
        <v>146</v>
      </c>
      <c r="B179" s="102" t="s">
        <v>82</v>
      </c>
      <c r="C179" s="253">
        <v>0</v>
      </c>
      <c r="D179" s="253">
        <v>0</v>
      </c>
      <c r="E179" s="253">
        <v>0</v>
      </c>
      <c r="F179" s="253">
        <v>0</v>
      </c>
      <c r="G179" s="253">
        <v>0</v>
      </c>
      <c r="H179" s="253">
        <v>0</v>
      </c>
      <c r="I179" s="264">
        <f t="shared" si="19"/>
        <v>0</v>
      </c>
    </row>
    <row r="180" spans="1:9" ht="12">
      <c r="A180" s="327"/>
      <c r="B180" s="96" t="s">
        <v>83</v>
      </c>
      <c r="C180" s="105">
        <v>93.7</v>
      </c>
      <c r="D180" s="250">
        <v>573.57</v>
      </c>
      <c r="E180" s="105">
        <v>0</v>
      </c>
      <c r="F180" s="105">
        <v>0</v>
      </c>
      <c r="G180" s="105">
        <f>31.39*2</f>
        <v>62.78</v>
      </c>
      <c r="H180" s="105">
        <v>63.6</v>
      </c>
      <c r="I180" s="265">
        <f t="shared" si="19"/>
        <v>793.6500000000001</v>
      </c>
    </row>
    <row r="181" spans="1:9" ht="12">
      <c r="A181" s="327"/>
      <c r="B181" s="96" t="s">
        <v>98</v>
      </c>
      <c r="C181" s="105">
        <v>0</v>
      </c>
      <c r="D181" s="250">
        <v>0</v>
      </c>
      <c r="E181" s="105">
        <v>0</v>
      </c>
      <c r="F181" s="105">
        <v>0</v>
      </c>
      <c r="G181" s="105">
        <v>0</v>
      </c>
      <c r="H181" s="105">
        <v>251.68</v>
      </c>
      <c r="I181" s="265">
        <f t="shared" si="19"/>
        <v>251.68</v>
      </c>
    </row>
    <row r="182" spans="1:9" ht="12">
      <c r="A182" s="327"/>
      <c r="B182" s="96" t="s">
        <v>87</v>
      </c>
      <c r="C182" s="105">
        <v>0</v>
      </c>
      <c r="D182" s="250">
        <v>0</v>
      </c>
      <c r="E182" s="105">
        <v>0</v>
      </c>
      <c r="F182" s="105">
        <v>0</v>
      </c>
      <c r="G182" s="105">
        <v>0</v>
      </c>
      <c r="H182" s="105">
        <v>251.68</v>
      </c>
      <c r="I182" s="265">
        <f t="shared" si="19"/>
        <v>251.68</v>
      </c>
    </row>
    <row r="183" spans="1:9" ht="12">
      <c r="A183" s="327"/>
      <c r="B183" s="96" t="s">
        <v>101</v>
      </c>
      <c r="C183" s="105">
        <v>0</v>
      </c>
      <c r="D183" s="250">
        <v>0</v>
      </c>
      <c r="E183" s="105">
        <v>0</v>
      </c>
      <c r="F183" s="105">
        <v>0</v>
      </c>
      <c r="G183" s="105">
        <v>0</v>
      </c>
      <c r="H183" s="105">
        <v>251.68</v>
      </c>
      <c r="I183" s="265">
        <f t="shared" si="19"/>
        <v>251.68</v>
      </c>
    </row>
    <row r="184" spans="1:9" ht="12.75" thickBot="1">
      <c r="A184" s="327"/>
      <c r="B184" s="161" t="s">
        <v>102</v>
      </c>
      <c r="C184" s="251">
        <v>0</v>
      </c>
      <c r="D184" s="252">
        <v>0</v>
      </c>
      <c r="E184" s="251">
        <v>0</v>
      </c>
      <c r="F184" s="251">
        <v>0</v>
      </c>
      <c r="G184" s="251">
        <v>0</v>
      </c>
      <c r="H184" s="251">
        <v>251.68</v>
      </c>
      <c r="I184" s="267">
        <f t="shared" si="19"/>
        <v>251.68</v>
      </c>
    </row>
    <row r="185" spans="1:9" ht="12.75" thickBot="1">
      <c r="A185" s="328"/>
      <c r="B185" s="160" t="s">
        <v>80</v>
      </c>
      <c r="C185" s="283">
        <f aca="true" t="shared" si="26" ref="C185:H185">SUM(C179:C184)</f>
        <v>93.7</v>
      </c>
      <c r="D185" s="283">
        <f t="shared" si="26"/>
        <v>573.57</v>
      </c>
      <c r="E185" s="283">
        <f t="shared" si="26"/>
        <v>0</v>
      </c>
      <c r="F185" s="283">
        <f t="shared" si="26"/>
        <v>0</v>
      </c>
      <c r="G185" s="283">
        <f t="shared" si="26"/>
        <v>62.78</v>
      </c>
      <c r="H185" s="283">
        <f t="shared" si="26"/>
        <v>1070.3200000000002</v>
      </c>
      <c r="I185" s="263">
        <f t="shared" si="19"/>
        <v>1800.3700000000003</v>
      </c>
    </row>
    <row r="186" spans="1:9" ht="12">
      <c r="A186" s="323" t="s">
        <v>103</v>
      </c>
      <c r="B186" s="159" t="s">
        <v>82</v>
      </c>
      <c r="C186" s="253">
        <v>155.9</v>
      </c>
      <c r="D186" s="253">
        <v>696.28</v>
      </c>
      <c r="E186" s="253">
        <v>0</v>
      </c>
      <c r="F186" s="253">
        <v>0</v>
      </c>
      <c r="G186" s="253">
        <v>0</v>
      </c>
      <c r="H186" s="253">
        <f>14*9.2</f>
        <v>128.79999999999998</v>
      </c>
      <c r="I186" s="264">
        <f t="shared" si="19"/>
        <v>980.9799999999999</v>
      </c>
    </row>
    <row r="187" spans="1:9" ht="12">
      <c r="A187" s="325"/>
      <c r="B187" s="132" t="s">
        <v>83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265">
        <f t="shared" si="19"/>
        <v>0</v>
      </c>
    </row>
    <row r="188" spans="1:9" ht="12">
      <c r="A188" s="325"/>
      <c r="B188" s="132" t="s">
        <v>98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265">
        <f t="shared" si="19"/>
        <v>0</v>
      </c>
    </row>
    <row r="189" spans="1:9" ht="12">
      <c r="A189" s="325"/>
      <c r="B189" s="132" t="s">
        <v>87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265">
        <f t="shared" si="19"/>
        <v>0</v>
      </c>
    </row>
    <row r="190" spans="1:9" ht="12">
      <c r="A190" s="325"/>
      <c r="B190" s="133" t="s">
        <v>101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265">
        <f t="shared" si="19"/>
        <v>0</v>
      </c>
    </row>
    <row r="191" spans="1:9" ht="12">
      <c r="A191" s="325"/>
      <c r="B191" s="133" t="s">
        <v>102</v>
      </c>
      <c r="C191" s="105"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265">
        <f t="shared" si="19"/>
        <v>0</v>
      </c>
    </row>
    <row r="192" spans="1:9" ht="12">
      <c r="A192" s="325"/>
      <c r="B192" s="132" t="s">
        <v>104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0</v>
      </c>
      <c r="I192" s="265">
        <f t="shared" si="19"/>
        <v>0</v>
      </c>
    </row>
    <row r="193" spans="1:9" ht="12">
      <c r="A193" s="325"/>
      <c r="B193" s="132" t="s">
        <v>105</v>
      </c>
      <c r="C193" s="105">
        <f>2*840</f>
        <v>1680</v>
      </c>
      <c r="D193" s="105">
        <f>2.9*840</f>
        <v>2436</v>
      </c>
      <c r="E193" s="105">
        <v>0</v>
      </c>
      <c r="F193" s="105">
        <v>0</v>
      </c>
      <c r="G193" s="105">
        <v>0</v>
      </c>
      <c r="H193" s="105">
        <v>0</v>
      </c>
      <c r="I193" s="265">
        <f t="shared" si="19"/>
        <v>4116</v>
      </c>
    </row>
    <row r="194" spans="1:9" ht="24" thickBot="1">
      <c r="A194" s="325"/>
      <c r="B194" s="140" t="s">
        <v>106</v>
      </c>
      <c r="C194" s="251">
        <v>0</v>
      </c>
      <c r="D194" s="251">
        <v>0</v>
      </c>
      <c r="E194" s="251">
        <v>0</v>
      </c>
      <c r="F194" s="251">
        <v>0</v>
      </c>
      <c r="G194" s="251">
        <v>0</v>
      </c>
      <c r="H194" s="251">
        <v>0</v>
      </c>
      <c r="I194" s="267">
        <f t="shared" si="19"/>
        <v>0</v>
      </c>
    </row>
    <row r="195" spans="1:9" ht="12.75" thickBot="1">
      <c r="A195" s="325"/>
      <c r="B195" s="141" t="s">
        <v>80</v>
      </c>
      <c r="C195" s="263">
        <f aca="true" t="shared" si="27" ref="C195:H195">SUM(C186:C194)</f>
        <v>1835.9</v>
      </c>
      <c r="D195" s="263">
        <f t="shared" si="27"/>
        <v>3132.2799999999997</v>
      </c>
      <c r="E195" s="263">
        <f t="shared" si="27"/>
        <v>0</v>
      </c>
      <c r="F195" s="263">
        <f t="shared" si="27"/>
        <v>0</v>
      </c>
      <c r="G195" s="263">
        <f t="shared" si="27"/>
        <v>0</v>
      </c>
      <c r="H195" s="263">
        <f t="shared" si="27"/>
        <v>128.79999999999998</v>
      </c>
      <c r="I195" s="263">
        <f t="shared" si="19"/>
        <v>5096.9800000000005</v>
      </c>
    </row>
    <row r="196" spans="1:9" ht="12">
      <c r="A196" s="329" t="s">
        <v>107</v>
      </c>
      <c r="B196" s="162" t="s">
        <v>83</v>
      </c>
      <c r="C196" s="110">
        <v>53.21</v>
      </c>
      <c r="D196" s="110">
        <v>56.65</v>
      </c>
      <c r="E196" s="110">
        <v>0</v>
      </c>
      <c r="F196" s="110">
        <v>0</v>
      </c>
      <c r="G196" s="110">
        <v>145.65</v>
      </c>
      <c r="H196" s="110">
        <v>0</v>
      </c>
      <c r="I196" s="275">
        <f>SUM(C196:H196)</f>
        <v>255.51</v>
      </c>
    </row>
    <row r="197" spans="1:9" ht="12.75" thickBot="1">
      <c r="A197" s="330"/>
      <c r="B197" s="163" t="s">
        <v>87</v>
      </c>
      <c r="C197" s="123">
        <v>0</v>
      </c>
      <c r="D197" s="249">
        <v>0</v>
      </c>
      <c r="E197" s="123">
        <v>0</v>
      </c>
      <c r="F197" s="123">
        <v>0</v>
      </c>
      <c r="G197" s="123">
        <v>0</v>
      </c>
      <c r="H197" s="123">
        <v>145.1</v>
      </c>
      <c r="I197" s="276">
        <f>SUM(C197:H197)</f>
        <v>145.1</v>
      </c>
    </row>
    <row r="198" spans="1:9" ht="12.75" thickBot="1">
      <c r="A198" s="331"/>
      <c r="B198" s="164" t="s">
        <v>80</v>
      </c>
      <c r="C198" s="280">
        <f aca="true" t="shared" si="28" ref="C198:H198">SUM(C196:C197)</f>
        <v>53.21</v>
      </c>
      <c r="D198" s="280">
        <f t="shared" si="28"/>
        <v>56.65</v>
      </c>
      <c r="E198" s="280">
        <f t="shared" si="28"/>
        <v>0</v>
      </c>
      <c r="F198" s="280">
        <f t="shared" si="28"/>
        <v>0</v>
      </c>
      <c r="G198" s="280">
        <f t="shared" si="28"/>
        <v>145.65</v>
      </c>
      <c r="H198" s="280">
        <f t="shared" si="28"/>
        <v>145.1</v>
      </c>
      <c r="I198" s="270">
        <f>SUM(C198:H198)</f>
        <v>400.61</v>
      </c>
    </row>
    <row r="199" spans="1:9" ht="13.5" thickBot="1">
      <c r="A199" s="354" t="s">
        <v>108</v>
      </c>
      <c r="B199" s="355"/>
      <c r="C199" s="85">
        <f aca="true" t="shared" si="29" ref="C199:H199">SUM(C198,C195,C185,C178,C175,C173,C170,C168,C166,C157,C155,C138,C125,C111,C87,C84,C77,C65,C59,C46,C34,C27,C15)</f>
        <v>4681.137999999999</v>
      </c>
      <c r="D199" s="85">
        <f t="shared" si="29"/>
        <v>39227.333999999995</v>
      </c>
      <c r="E199" s="85">
        <f t="shared" si="29"/>
        <v>2535.1400000000003</v>
      </c>
      <c r="F199" s="85">
        <f t="shared" si="29"/>
        <v>43377.42</v>
      </c>
      <c r="G199" s="85">
        <f t="shared" si="29"/>
        <v>1842.4769999999999</v>
      </c>
      <c r="H199" s="85">
        <f t="shared" si="29"/>
        <v>17426.742000000002</v>
      </c>
      <c r="I199" s="270">
        <f>SUM(C199:H199)</f>
        <v>109090.25099999999</v>
      </c>
    </row>
    <row r="200" spans="1:9" ht="13.5" thickBot="1">
      <c r="A200" s="356" t="s">
        <v>109</v>
      </c>
      <c r="B200" s="357"/>
      <c r="C200" s="86">
        <f aca="true" t="shared" si="30" ref="C200:I200">C199/$I199</f>
        <v>0.042910690525407254</v>
      </c>
      <c r="D200" s="86">
        <f t="shared" si="30"/>
        <v>0.3595860642029323</v>
      </c>
      <c r="E200" s="86">
        <f t="shared" si="30"/>
        <v>0.023238923522139486</v>
      </c>
      <c r="F200" s="86">
        <f t="shared" si="30"/>
        <v>0.3976287486954265</v>
      </c>
      <c r="G200" s="86">
        <f t="shared" si="30"/>
        <v>0.016889474385754232</v>
      </c>
      <c r="H200" s="86">
        <f t="shared" si="30"/>
        <v>0.15974609866834025</v>
      </c>
      <c r="I200" s="86">
        <f t="shared" si="30"/>
        <v>1</v>
      </c>
    </row>
    <row r="201" spans="1:9" ht="12.75">
      <c r="A201" s="87"/>
      <c r="B201" s="88"/>
      <c r="C201" s="88"/>
      <c r="D201" s="88"/>
      <c r="E201" s="88"/>
      <c r="F201" s="88"/>
      <c r="G201" s="88"/>
      <c r="H201" s="88"/>
      <c r="I201" s="88"/>
    </row>
    <row r="202" spans="1:9" ht="12.75">
      <c r="A202" s="87"/>
      <c r="B202" s="88"/>
      <c r="C202" s="90"/>
      <c r="D202" s="90"/>
      <c r="E202" s="90"/>
      <c r="F202" s="90"/>
      <c r="G202" s="90"/>
      <c r="H202" s="90"/>
      <c r="I202" s="88"/>
    </row>
    <row r="203" spans="1:9" ht="12.75">
      <c r="A203" s="87"/>
      <c r="B203" s="88"/>
      <c r="C203" s="88"/>
      <c r="D203" s="88"/>
      <c r="E203" s="88"/>
      <c r="F203" s="88"/>
      <c r="G203" s="88"/>
      <c r="H203" s="88"/>
      <c r="I203" s="88"/>
    </row>
    <row r="204" spans="1:9" ht="12.75">
      <c r="A204" s="87"/>
      <c r="B204" s="88"/>
      <c r="C204" s="88"/>
      <c r="D204" s="88"/>
      <c r="E204" s="88"/>
      <c r="F204" s="88"/>
      <c r="G204" s="88"/>
      <c r="H204" s="88"/>
      <c r="I204" s="90"/>
    </row>
    <row r="205" spans="1:9" ht="12.75">
      <c r="A205" s="87"/>
      <c r="B205" s="88"/>
      <c r="C205" s="88"/>
      <c r="D205" s="88"/>
      <c r="E205" s="88"/>
      <c r="F205" s="88"/>
      <c r="G205" s="88"/>
      <c r="H205" s="88"/>
      <c r="I205" s="89"/>
    </row>
    <row r="206" spans="1:9" ht="12.75">
      <c r="A206" s="87"/>
      <c r="B206" s="88"/>
      <c r="C206" s="88"/>
      <c r="D206" s="88"/>
      <c r="E206" s="88"/>
      <c r="F206" s="88"/>
      <c r="G206" s="88"/>
      <c r="H206" s="88"/>
      <c r="I206" s="88"/>
    </row>
    <row r="207" spans="1:9" ht="12.75">
      <c r="A207" s="87"/>
      <c r="B207" s="88"/>
      <c r="C207" s="88"/>
      <c r="D207" s="88"/>
      <c r="E207" s="88"/>
      <c r="F207" s="88"/>
      <c r="G207" s="88"/>
      <c r="H207" s="88"/>
      <c r="I207" s="88"/>
    </row>
    <row r="208" spans="1:9" ht="14.25" customHeight="1">
      <c r="A208" s="87"/>
      <c r="B208" s="88"/>
      <c r="C208" s="88"/>
      <c r="D208" s="88"/>
      <c r="E208" s="88"/>
      <c r="F208" s="88"/>
      <c r="G208" s="88"/>
      <c r="H208" s="88"/>
      <c r="I208" s="88"/>
    </row>
  </sheetData>
  <sheetProtection/>
  <mergeCells count="29">
    <mergeCell ref="A112:A125"/>
    <mergeCell ref="A126:A138"/>
    <mergeCell ref="A139:A155"/>
    <mergeCell ref="A199:B199"/>
    <mergeCell ref="A200:B200"/>
    <mergeCell ref="A156:A157"/>
    <mergeCell ref="A158:A166"/>
    <mergeCell ref="A167:A168"/>
    <mergeCell ref="A169:A170"/>
    <mergeCell ref="A171:A173"/>
    <mergeCell ref="A35:A46"/>
    <mergeCell ref="A47:A59"/>
    <mergeCell ref="C1:I1"/>
    <mergeCell ref="A28:A34"/>
    <mergeCell ref="A1:A3"/>
    <mergeCell ref="B1:B3"/>
    <mergeCell ref="I2:I3"/>
    <mergeCell ref="A4:A15"/>
    <mergeCell ref="A16:A27"/>
    <mergeCell ref="A174:A175"/>
    <mergeCell ref="A176:A178"/>
    <mergeCell ref="A179:A185"/>
    <mergeCell ref="A186:A195"/>
    <mergeCell ref="A196:A198"/>
    <mergeCell ref="A60:A65"/>
    <mergeCell ref="A66:A77"/>
    <mergeCell ref="A78:A84"/>
    <mergeCell ref="A85:A87"/>
    <mergeCell ref="A88:A11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G12"/>
  <sheetViews>
    <sheetView showGridLines="0" zoomScale="110" zoomScaleNormal="110" zoomScalePageLayoutView="0" workbookViewId="0" topLeftCell="A1">
      <pane ySplit="1" topLeftCell="A2" activePane="bottomLeft" state="frozen"/>
      <selection pane="topLeft" activeCell="F38" sqref="F38"/>
      <selection pane="bottomLeft" activeCell="D2" sqref="D2"/>
    </sheetView>
  </sheetViews>
  <sheetFormatPr defaultColWidth="9.140625" defaultRowHeight="12.75"/>
  <cols>
    <col min="1" max="1" width="50.57421875" style="1" customWidth="1"/>
    <col min="2" max="2" width="11.28125" style="1" customWidth="1"/>
    <col min="3" max="3" width="19.28125" style="1" customWidth="1"/>
    <col min="4" max="4" width="21.421875" style="1" customWidth="1"/>
    <col min="5" max="5" width="12.28125" style="1" customWidth="1"/>
    <col min="6" max="7" width="9.140625" style="58" customWidth="1"/>
    <col min="8" max="16384" width="9.140625" style="1" customWidth="1"/>
  </cols>
  <sheetData>
    <row r="1" spans="1:7" s="33" customFormat="1" ht="60">
      <c r="A1" s="30" t="s">
        <v>4</v>
      </c>
      <c r="B1" s="31" t="s">
        <v>5</v>
      </c>
      <c r="C1" s="31" t="s">
        <v>6</v>
      </c>
      <c r="D1" s="31" t="s">
        <v>216</v>
      </c>
      <c r="E1" s="32" t="s">
        <v>110</v>
      </c>
      <c r="F1" s="57"/>
      <c r="G1" s="57"/>
    </row>
    <row r="2" spans="1:5" ht="15">
      <c r="A2" s="65"/>
      <c r="B2" s="66"/>
      <c r="C2" s="66"/>
      <c r="D2" s="67"/>
      <c r="E2" s="68"/>
    </row>
    <row r="3" spans="1:5" ht="15">
      <c r="A3" s="61" t="s">
        <v>59</v>
      </c>
      <c r="B3" s="62">
        <f>Prédios!D199</f>
        <v>39227.333999999995</v>
      </c>
      <c r="C3" s="62">
        <f>160/7.33</f>
        <v>21.828103683492497</v>
      </c>
      <c r="D3" s="63">
        <f aca="true" t="shared" si="0" ref="D3:D8">(B3/C3)</f>
        <v>1797.1022388749998</v>
      </c>
      <c r="E3" s="64">
        <f aca="true" t="shared" si="1" ref="E3:E8">D3/$D$11</f>
        <v>0.3777463172712287</v>
      </c>
    </row>
    <row r="4" spans="1:5" ht="15">
      <c r="A4" s="61" t="s">
        <v>58</v>
      </c>
      <c r="B4" s="62">
        <f>Prédios!F199</f>
        <v>43377.42</v>
      </c>
      <c r="C4" s="62">
        <f>160/7.33</f>
        <v>21.828103683492497</v>
      </c>
      <c r="D4" s="63">
        <f t="shared" si="0"/>
        <v>1987.2280537499998</v>
      </c>
      <c r="E4" s="64">
        <f t="shared" si="1"/>
        <v>0.41771027971789626</v>
      </c>
    </row>
    <row r="5" spans="1:5" ht="15">
      <c r="A5" s="61" t="s">
        <v>61</v>
      </c>
      <c r="B5" s="62">
        <f>Prédios!H199</f>
        <v>17426.742000000002</v>
      </c>
      <c r="C5" s="62">
        <f>160/7.33</f>
        <v>21.828103683492497</v>
      </c>
      <c r="D5" s="63">
        <f t="shared" si="0"/>
        <v>798.3626178750001</v>
      </c>
      <c r="E5" s="64">
        <f t="shared" si="1"/>
        <v>0.1678137905710301</v>
      </c>
    </row>
    <row r="6" spans="1:5" ht="13.5">
      <c r="A6" s="61" t="s">
        <v>56</v>
      </c>
      <c r="B6" s="62">
        <f>Prédios!C199</f>
        <v>4681.137999999999</v>
      </c>
      <c r="C6" s="62">
        <f>380/7.33</f>
        <v>51.841746248294676</v>
      </c>
      <c r="D6" s="63">
        <f t="shared" si="0"/>
        <v>90.29668826315788</v>
      </c>
      <c r="E6" s="64">
        <f t="shared" si="1"/>
        <v>0.018980134082159247</v>
      </c>
    </row>
    <row r="7" spans="1:5" ht="13.5">
      <c r="A7" s="61" t="s">
        <v>57</v>
      </c>
      <c r="B7" s="62">
        <f>Prédios!E199</f>
        <v>2535.1400000000003</v>
      </c>
      <c r="C7" s="62">
        <f>380/7.33</f>
        <v>51.841746248294676</v>
      </c>
      <c r="D7" s="63">
        <f t="shared" si="0"/>
        <v>48.901516315789486</v>
      </c>
      <c r="E7" s="64">
        <f t="shared" si="1"/>
        <v>0.010278974282972477</v>
      </c>
    </row>
    <row r="8" spans="1:5" ht="13.5">
      <c r="A8" s="61" t="s">
        <v>60</v>
      </c>
      <c r="B8" s="62">
        <f>Prédios!G199</f>
        <v>1842.4769999999999</v>
      </c>
      <c r="C8" s="62">
        <f>380/7.33</f>
        <v>51.841746248294676</v>
      </c>
      <c r="D8" s="63">
        <f t="shared" si="0"/>
        <v>35.54041160526316</v>
      </c>
      <c r="E8" s="64">
        <f t="shared" si="1"/>
        <v>0.007470504074713142</v>
      </c>
    </row>
    <row r="9" spans="1:5" ht="13.5">
      <c r="A9" s="245" t="s">
        <v>194</v>
      </c>
      <c r="B9" s="246">
        <f>SUM(B3:B8)</f>
        <v>109090.25099999999</v>
      </c>
      <c r="C9" s="62"/>
      <c r="D9" s="247">
        <f>SUM(D3:D8)</f>
        <v>4757.43152668421</v>
      </c>
      <c r="E9" s="287"/>
    </row>
    <row r="10" spans="1:5" ht="13.5">
      <c r="A10" s="244"/>
      <c r="B10" s="284"/>
      <c r="C10" s="242"/>
      <c r="D10" s="285"/>
      <c r="E10" s="243"/>
    </row>
    <row r="11" spans="1:5" ht="13.5">
      <c r="A11" s="40" t="s">
        <v>215</v>
      </c>
      <c r="B11" s="41"/>
      <c r="C11" s="41"/>
      <c r="D11" s="42">
        <f>SUM(D2:D8)</f>
        <v>4757.43152668421</v>
      </c>
      <c r="E11" s="43">
        <f>D11/$D$11</f>
        <v>1</v>
      </c>
    </row>
    <row r="12" ht="13.5">
      <c r="D12" s="50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3"/>
  <ignoredErrors>
    <ignoredError sqref="E11 E8 D9 E3 E4 E5 E6 E7 D3:D8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3"/>
  <sheetViews>
    <sheetView zoomScale="110" zoomScaleNormal="110" zoomScaleSheetLayoutView="74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9.140625" defaultRowHeight="12.75"/>
  <cols>
    <col min="1" max="1" width="3.8515625" style="2" customWidth="1"/>
    <col min="2" max="2" width="9.140625" style="2" customWidth="1"/>
    <col min="3" max="3" width="62.57421875" style="2" customWidth="1"/>
    <col min="4" max="4" width="13.8515625" style="2" customWidth="1"/>
    <col min="5" max="5" width="16.57421875" style="2" customWidth="1"/>
    <col min="6" max="6" width="19.421875" style="2" customWidth="1"/>
    <col min="7" max="7" width="14.8515625" style="2" customWidth="1"/>
    <col min="8" max="8" width="17.28125" style="2" customWidth="1"/>
    <col min="9" max="9" width="19.421875" style="2" customWidth="1"/>
    <col min="10" max="10" width="18.8515625" style="2" customWidth="1"/>
    <col min="11" max="16384" width="9.140625" style="2" customWidth="1"/>
  </cols>
  <sheetData>
    <row r="1" spans="2:4" ht="19.5" thickBot="1">
      <c r="B1" s="373" t="s">
        <v>147</v>
      </c>
      <c r="C1" s="374"/>
      <c r="D1" s="375"/>
    </row>
    <row r="2" ht="15.75" thickBot="1"/>
    <row r="3" spans="2:10" ht="15">
      <c r="B3" s="37">
        <v>1</v>
      </c>
      <c r="C3" s="378" t="s">
        <v>7</v>
      </c>
      <c r="D3" s="379"/>
      <c r="E3" s="34" t="s">
        <v>8</v>
      </c>
      <c r="F3" s="3" t="s">
        <v>8</v>
      </c>
      <c r="G3" s="3" t="s">
        <v>8</v>
      </c>
      <c r="H3" s="34" t="s">
        <v>8</v>
      </c>
      <c r="I3" s="3" t="s">
        <v>8</v>
      </c>
      <c r="J3" s="3"/>
    </row>
    <row r="4" spans="2:10" ht="15">
      <c r="B4" s="38">
        <v>2</v>
      </c>
      <c r="C4" s="364" t="s">
        <v>26</v>
      </c>
      <c r="D4" s="380"/>
      <c r="E4" s="35">
        <v>1198.87</v>
      </c>
      <c r="F4" s="4">
        <f>1421.4</f>
        <v>1421.4</v>
      </c>
      <c r="G4" s="4">
        <v>2397.73</v>
      </c>
      <c r="H4" s="35">
        <v>1198.87</v>
      </c>
      <c r="I4" s="4">
        <f>1421.4</f>
        <v>1421.4</v>
      </c>
      <c r="J4" s="4"/>
    </row>
    <row r="5" spans="2:10" ht="66" customHeight="1">
      <c r="B5" s="39">
        <v>3</v>
      </c>
      <c r="C5" s="362" t="s">
        <v>148</v>
      </c>
      <c r="D5" s="363"/>
      <c r="E5" s="36" t="s">
        <v>44</v>
      </c>
      <c r="F5" s="91" t="s">
        <v>153</v>
      </c>
      <c r="G5" s="91" t="s">
        <v>154</v>
      </c>
      <c r="H5" s="318" t="s">
        <v>196</v>
      </c>
      <c r="I5" s="319" t="s">
        <v>197</v>
      </c>
      <c r="J5" s="216" t="s">
        <v>178</v>
      </c>
    </row>
    <row r="6" spans="2:10" ht="15">
      <c r="B6" s="92">
        <v>4</v>
      </c>
      <c r="C6" s="364" t="s">
        <v>27</v>
      </c>
      <c r="D6" s="364"/>
      <c r="E6" s="47">
        <v>43466</v>
      </c>
      <c r="F6" s="47">
        <f>$E$6</f>
        <v>43466</v>
      </c>
      <c r="G6" s="47">
        <f>$E$6</f>
        <v>43466</v>
      </c>
      <c r="H6" s="47">
        <v>43466</v>
      </c>
      <c r="I6" s="47">
        <f>$E$6</f>
        <v>43466</v>
      </c>
      <c r="J6" s="217">
        <f>$E$6</f>
        <v>43466</v>
      </c>
    </row>
    <row r="7" spans="2:10" ht="15">
      <c r="B7" s="364" t="s">
        <v>41</v>
      </c>
      <c r="C7" s="364"/>
      <c r="D7" s="364"/>
      <c r="E7" s="44">
        <v>44</v>
      </c>
      <c r="F7" s="44">
        <v>44</v>
      </c>
      <c r="G7" s="44">
        <v>44</v>
      </c>
      <c r="H7" s="44">
        <v>44</v>
      </c>
      <c r="I7" s="44">
        <v>44</v>
      </c>
      <c r="J7" s="218"/>
    </row>
    <row r="8" spans="2:10" ht="15">
      <c r="B8" s="364" t="s">
        <v>149</v>
      </c>
      <c r="C8" s="364"/>
      <c r="D8" s="364"/>
      <c r="E8" s="44">
        <v>6</v>
      </c>
      <c r="F8" s="44">
        <v>6</v>
      </c>
      <c r="G8" s="44">
        <v>6</v>
      </c>
      <c r="H8" s="44">
        <v>6</v>
      </c>
      <c r="I8" s="44">
        <v>6</v>
      </c>
      <c r="J8" s="218"/>
    </row>
    <row r="9" spans="2:10" ht="15">
      <c r="B9" s="364" t="s">
        <v>42</v>
      </c>
      <c r="C9" s="364"/>
      <c r="D9" s="364"/>
      <c r="E9" s="60">
        <f>E7/E8</f>
        <v>7.333333333333333</v>
      </c>
      <c r="F9" s="60">
        <f>F7/F8</f>
        <v>7.333333333333333</v>
      </c>
      <c r="G9" s="60">
        <f>G7/G8</f>
        <v>7.333333333333333</v>
      </c>
      <c r="H9" s="60">
        <f>H7/H8</f>
        <v>7.333333333333333</v>
      </c>
      <c r="I9" s="60">
        <f>I7/I8</f>
        <v>7.333333333333333</v>
      </c>
      <c r="J9" s="219">
        <f>IF(J7&gt;0,J7/J8,"")</f>
      </c>
    </row>
    <row r="10" spans="2:10" ht="15">
      <c r="B10" s="365" t="s">
        <v>150</v>
      </c>
      <c r="C10" s="366"/>
      <c r="D10" s="367"/>
      <c r="E10" s="60">
        <v>25</v>
      </c>
      <c r="F10" s="60">
        <v>25</v>
      </c>
      <c r="G10" s="60">
        <v>25</v>
      </c>
      <c r="H10" s="60">
        <v>25</v>
      </c>
      <c r="I10" s="60">
        <v>25</v>
      </c>
      <c r="J10" s="219"/>
    </row>
    <row r="11" spans="2:10" ht="15">
      <c r="B11" s="364" t="s">
        <v>151</v>
      </c>
      <c r="C11" s="364"/>
      <c r="D11" s="364"/>
      <c r="E11" s="222"/>
      <c r="F11" s="45"/>
      <c r="G11" s="45"/>
      <c r="H11" s="45"/>
      <c r="I11" s="45"/>
      <c r="J11" s="220"/>
    </row>
    <row r="12" spans="2:10" ht="15">
      <c r="B12" s="48" t="s">
        <v>152</v>
      </c>
      <c r="C12" s="48"/>
      <c r="D12" s="166">
        <f>SUM(E12:M12)</f>
        <v>0</v>
      </c>
      <c r="E12" s="46">
        <f>ROUND((E9*E10)*E11,0)</f>
        <v>0</v>
      </c>
      <c r="F12" s="46">
        <f>ROUND((F9*F10)*F11,0)</f>
        <v>0</v>
      </c>
      <c r="G12" s="46">
        <f>ROUND((G9*G10)*G11,0)</f>
        <v>0</v>
      </c>
      <c r="H12" s="46">
        <f>ROUND((H9*H10)*H11,0)</f>
        <v>0</v>
      </c>
      <c r="I12" s="46">
        <f>ROUND((I9*I10)*I11,0)</f>
        <v>0</v>
      </c>
      <c r="J12" s="221">
        <f>IF(J11&gt;0,ROUND((J9*J10)*J11,0),"")</f>
      </c>
    </row>
    <row r="13" spans="2:10" ht="15">
      <c r="B13" s="314"/>
      <c r="C13" s="314"/>
      <c r="D13" s="317"/>
      <c r="E13" s="315"/>
      <c r="F13" s="315"/>
      <c r="G13" s="315"/>
      <c r="H13" s="315"/>
      <c r="I13" s="315"/>
      <c r="J13" s="316"/>
    </row>
    <row r="14" spans="2:10" ht="15">
      <c r="B14" s="316" t="s">
        <v>195</v>
      </c>
      <c r="C14" s="314"/>
      <c r="D14" s="317"/>
      <c r="E14" s="315"/>
      <c r="F14" s="315"/>
      <c r="G14" s="315"/>
      <c r="H14" s="315"/>
      <c r="I14" s="315"/>
      <c r="J14" s="316"/>
    </row>
    <row r="15" ht="15">
      <c r="J15" s="316"/>
    </row>
    <row r="16" spans="2:5" ht="15.75" thickBot="1">
      <c r="B16" s="368" t="s">
        <v>28</v>
      </c>
      <c r="C16" s="368"/>
      <c r="D16" s="368"/>
      <c r="E16" s="368"/>
    </row>
    <row r="17" spans="2:10" ht="15.75" thickBot="1">
      <c r="B17" s="5">
        <v>1</v>
      </c>
      <c r="C17" s="6" t="s">
        <v>9</v>
      </c>
      <c r="D17" s="7" t="s">
        <v>10</v>
      </c>
      <c r="E17" s="8" t="s">
        <v>1</v>
      </c>
      <c r="F17" s="9" t="s">
        <v>1</v>
      </c>
      <c r="G17" s="9" t="s">
        <v>1</v>
      </c>
      <c r="H17" s="9"/>
      <c r="I17" s="9" t="s">
        <v>1</v>
      </c>
      <c r="J17" s="9" t="s">
        <v>1</v>
      </c>
    </row>
    <row r="18" spans="2:10" ht="15">
      <c r="B18" s="10" t="s">
        <v>11</v>
      </c>
      <c r="C18" s="11" t="s">
        <v>12</v>
      </c>
      <c r="D18" s="51" t="s">
        <v>43</v>
      </c>
      <c r="E18" s="12"/>
      <c r="F18" s="13"/>
      <c r="G18" s="13"/>
      <c r="H18" s="13"/>
      <c r="I18" s="13"/>
      <c r="J18" s="13"/>
    </row>
    <row r="19" spans="2:10" ht="15">
      <c r="B19" s="14" t="s">
        <v>13</v>
      </c>
      <c r="C19" s="15" t="s">
        <v>155</v>
      </c>
      <c r="D19" s="16">
        <v>0.4</v>
      </c>
      <c r="E19" s="17"/>
      <c r="F19" s="17"/>
      <c r="G19" s="17"/>
      <c r="H19" s="17"/>
      <c r="I19" s="17"/>
      <c r="J19" s="17"/>
    </row>
    <row r="20" spans="2:10" ht="15">
      <c r="B20" s="14" t="s">
        <v>14</v>
      </c>
      <c r="C20" s="15" t="s">
        <v>17</v>
      </c>
      <c r="D20" s="16">
        <v>0.3</v>
      </c>
      <c r="E20" s="17"/>
      <c r="F20" s="17"/>
      <c r="G20" s="17"/>
      <c r="H20" s="17"/>
      <c r="I20" s="17"/>
      <c r="J20" s="17"/>
    </row>
    <row r="21" spans="2:10" ht="15">
      <c r="B21" s="167" t="s">
        <v>156</v>
      </c>
      <c r="C21" s="168" t="s">
        <v>19</v>
      </c>
      <c r="D21" s="169"/>
      <c r="E21" s="170"/>
      <c r="F21" s="170"/>
      <c r="G21" s="170"/>
      <c r="H21" s="170"/>
      <c r="I21" s="170"/>
      <c r="J21" s="170"/>
    </row>
    <row r="22" spans="2:10" ht="15.75" thickBot="1">
      <c r="B22" s="19"/>
      <c r="C22" s="83" t="s">
        <v>20</v>
      </c>
      <c r="D22" s="84"/>
      <c r="E22" s="190">
        <f>SUM(E18:E21)</f>
        <v>0</v>
      </c>
      <c r="F22" s="190">
        <f>SUM(F18:F21)</f>
        <v>0</v>
      </c>
      <c r="G22" s="190">
        <f>SUM(G18:G21)</f>
        <v>0</v>
      </c>
      <c r="H22" s="190"/>
      <c r="I22" s="190">
        <f>SUM(I18:I21)</f>
        <v>0</v>
      </c>
      <c r="J22" s="190">
        <f>SUM(J18:J21)</f>
        <v>0</v>
      </c>
    </row>
    <row r="23" spans="2:5" ht="15">
      <c r="B23" s="21"/>
      <c r="D23" s="21"/>
      <c r="E23" s="21"/>
    </row>
    <row r="24" spans="2:5" ht="15.75" thickBot="1">
      <c r="B24" s="376" t="s">
        <v>29</v>
      </c>
      <c r="C24" s="377"/>
      <c r="D24" s="377"/>
      <c r="E24" s="377"/>
    </row>
    <row r="25" spans="2:10" ht="15.75" thickBot="1">
      <c r="B25" s="5">
        <v>2</v>
      </c>
      <c r="C25" s="26" t="s">
        <v>30</v>
      </c>
      <c r="D25" s="7" t="s">
        <v>10</v>
      </c>
      <c r="E25" s="7" t="s">
        <v>1</v>
      </c>
      <c r="F25" s="7" t="s">
        <v>1</v>
      </c>
      <c r="G25" s="9" t="s">
        <v>1</v>
      </c>
      <c r="H25" s="7"/>
      <c r="I25" s="7" t="s">
        <v>1</v>
      </c>
      <c r="J25" s="7" t="s">
        <v>1</v>
      </c>
    </row>
    <row r="26" spans="2:10" ht="15">
      <c r="B26" s="191" t="s">
        <v>168</v>
      </c>
      <c r="C26" s="192" t="s">
        <v>169</v>
      </c>
      <c r="D26" s="193"/>
      <c r="E26" s="194"/>
      <c r="F26" s="194"/>
      <c r="G26" s="195"/>
      <c r="H26" s="194"/>
      <c r="I26" s="194"/>
      <c r="J26" s="194"/>
    </row>
    <row r="27" spans="2:10" ht="15">
      <c r="B27" s="184" t="s">
        <v>11</v>
      </c>
      <c r="C27" s="178" t="s">
        <v>159</v>
      </c>
      <c r="D27" s="179"/>
      <c r="E27" s="175"/>
      <c r="F27" s="175"/>
      <c r="G27" s="183"/>
      <c r="H27" s="309"/>
      <c r="I27" s="175"/>
      <c r="J27" s="175"/>
    </row>
    <row r="28" spans="2:10" ht="15">
      <c r="B28" s="184" t="s">
        <v>13</v>
      </c>
      <c r="C28" s="178" t="s">
        <v>160</v>
      </c>
      <c r="D28" s="180"/>
      <c r="E28" s="175"/>
      <c r="F28" s="175"/>
      <c r="G28" s="183"/>
      <c r="H28" s="309"/>
      <c r="I28" s="175"/>
      <c r="J28" s="175"/>
    </row>
    <row r="29" spans="2:10" ht="15">
      <c r="B29" s="184" t="s">
        <v>14</v>
      </c>
      <c r="C29" s="178" t="s">
        <v>161</v>
      </c>
      <c r="D29" s="179"/>
      <c r="E29" s="175"/>
      <c r="F29" s="175"/>
      <c r="G29" s="183"/>
      <c r="H29" s="309"/>
      <c r="I29" s="175"/>
      <c r="J29" s="175"/>
    </row>
    <row r="30" spans="2:10" ht="15">
      <c r="B30" s="184" t="s">
        <v>15</v>
      </c>
      <c r="C30" s="178" t="s">
        <v>162</v>
      </c>
      <c r="D30" s="180"/>
      <c r="E30" s="175"/>
      <c r="F30" s="175"/>
      <c r="G30" s="183"/>
      <c r="H30" s="309"/>
      <c r="I30" s="175"/>
      <c r="J30" s="175"/>
    </row>
    <row r="31" spans="2:10" ht="15">
      <c r="B31" s="184" t="s">
        <v>16</v>
      </c>
      <c r="C31" s="178" t="s">
        <v>163</v>
      </c>
      <c r="D31" s="179"/>
      <c r="E31" s="175"/>
      <c r="F31" s="175"/>
      <c r="G31" s="183"/>
      <c r="H31" s="309"/>
      <c r="I31" s="175"/>
      <c r="J31" s="175"/>
    </row>
    <row r="32" spans="2:10" ht="15">
      <c r="B32" s="184" t="s">
        <v>18</v>
      </c>
      <c r="C32" s="178" t="s">
        <v>164</v>
      </c>
      <c r="D32" s="180"/>
      <c r="E32" s="175"/>
      <c r="F32" s="175"/>
      <c r="G32" s="183"/>
      <c r="H32" s="309"/>
      <c r="I32" s="175"/>
      <c r="J32" s="175"/>
    </row>
    <row r="33" spans="2:10" ht="15">
      <c r="B33" s="184" t="s">
        <v>65</v>
      </c>
      <c r="C33" s="178" t="s">
        <v>165</v>
      </c>
      <c r="D33" s="180"/>
      <c r="E33" s="175"/>
      <c r="F33" s="175"/>
      <c r="G33" s="183"/>
      <c r="H33" s="309"/>
      <c r="I33" s="175"/>
      <c r="J33" s="175"/>
    </row>
    <row r="34" spans="2:10" ht="15">
      <c r="B34" s="184" t="s">
        <v>66</v>
      </c>
      <c r="C34" s="178" t="s">
        <v>166</v>
      </c>
      <c r="D34" s="179"/>
      <c r="E34" s="175"/>
      <c r="F34" s="175"/>
      <c r="G34" s="183"/>
      <c r="H34" s="309"/>
      <c r="I34" s="175"/>
      <c r="J34" s="175"/>
    </row>
    <row r="35" spans="2:13" ht="15">
      <c r="B35" s="196" t="s">
        <v>170</v>
      </c>
      <c r="C35" s="197" t="s">
        <v>171</v>
      </c>
      <c r="D35" s="198"/>
      <c r="E35" s="199"/>
      <c r="F35" s="199"/>
      <c r="G35" s="202"/>
      <c r="H35" s="310"/>
      <c r="I35" s="199"/>
      <c r="J35" s="199"/>
      <c r="M35" s="69"/>
    </row>
    <row r="36" spans="2:10" ht="15">
      <c r="B36" s="186" t="s">
        <v>67</v>
      </c>
      <c r="C36" s="187" t="s">
        <v>157</v>
      </c>
      <c r="D36" s="188"/>
      <c r="E36" s="175"/>
      <c r="F36" s="175"/>
      <c r="G36" s="183"/>
      <c r="H36" s="309"/>
      <c r="I36" s="175"/>
      <c r="J36" s="175"/>
    </row>
    <row r="37" spans="2:10" ht="15">
      <c r="B37" s="182" t="s">
        <v>68</v>
      </c>
      <c r="C37" s="177" t="s">
        <v>158</v>
      </c>
      <c r="D37" s="181"/>
      <c r="E37" s="175"/>
      <c r="F37" s="175"/>
      <c r="G37" s="183"/>
      <c r="H37" s="309"/>
      <c r="I37" s="175"/>
      <c r="J37" s="175"/>
    </row>
    <row r="38" spans="2:10" ht="15">
      <c r="B38" s="14" t="s">
        <v>69</v>
      </c>
      <c r="C38" s="15" t="s">
        <v>173</v>
      </c>
      <c r="D38" s="200"/>
      <c r="E38" s="176"/>
      <c r="F38" s="175"/>
      <c r="G38" s="183"/>
      <c r="H38" s="309"/>
      <c r="I38" s="175"/>
      <c r="J38" s="175"/>
    </row>
    <row r="39" spans="2:10" ht="15">
      <c r="B39" s="14" t="s">
        <v>70</v>
      </c>
      <c r="C39" s="15" t="s">
        <v>172</v>
      </c>
      <c r="D39" s="200"/>
      <c r="E39" s="176"/>
      <c r="F39" s="175"/>
      <c r="G39" s="183"/>
      <c r="H39" s="309"/>
      <c r="I39" s="175"/>
      <c r="J39" s="175"/>
    </row>
    <row r="40" spans="2:10" ht="15">
      <c r="B40" s="14" t="s">
        <v>71</v>
      </c>
      <c r="C40" s="15" t="s">
        <v>174</v>
      </c>
      <c r="D40" s="201"/>
      <c r="E40" s="176"/>
      <c r="F40" s="175"/>
      <c r="G40" s="183"/>
      <c r="H40" s="309"/>
      <c r="I40" s="175"/>
      <c r="J40" s="175"/>
    </row>
    <row r="41" spans="2:10" ht="15">
      <c r="B41" s="214" t="s">
        <v>175</v>
      </c>
      <c r="C41" s="203" t="s">
        <v>177</v>
      </c>
      <c r="D41" s="205"/>
      <c r="E41" s="199"/>
      <c r="F41" s="199"/>
      <c r="G41" s="202"/>
      <c r="H41" s="310"/>
      <c r="I41" s="199"/>
      <c r="J41" s="199"/>
    </row>
    <row r="42" spans="2:10" ht="15">
      <c r="B42" s="14" t="s">
        <v>72</v>
      </c>
      <c r="C42" s="15" t="s">
        <v>176</v>
      </c>
      <c r="D42" s="204"/>
      <c r="E42" s="175"/>
      <c r="F42" s="175"/>
      <c r="G42" s="183"/>
      <c r="H42" s="309"/>
      <c r="I42" s="175"/>
      <c r="J42" s="175"/>
    </row>
    <row r="43" spans="2:10" ht="15">
      <c r="B43" s="14" t="s">
        <v>73</v>
      </c>
      <c r="C43" s="15" t="s">
        <v>19</v>
      </c>
      <c r="D43" s="201"/>
      <c r="E43" s="175"/>
      <c r="F43" s="175"/>
      <c r="G43" s="183"/>
      <c r="H43" s="309"/>
      <c r="I43" s="175"/>
      <c r="J43" s="175"/>
    </row>
    <row r="44" spans="2:10" ht="15.75" thickBot="1">
      <c r="B44" s="19"/>
      <c r="C44" s="83" t="s">
        <v>167</v>
      </c>
      <c r="D44" s="185"/>
      <c r="E44" s="189">
        <f>SUM(E27:E34)+SUM(E36:E40)+SUM(E42:E43)</f>
        <v>0</v>
      </c>
      <c r="F44" s="189">
        <f>SUM(F27:F34)+SUM(F36:F40)+SUM(F42:F43)</f>
        <v>0</v>
      </c>
      <c r="G44" s="189">
        <f>SUM(G27:G34)+SUM(G36:G40)+SUM(G42:G43)</f>
        <v>0</v>
      </c>
      <c r="H44" s="189"/>
      <c r="I44" s="189">
        <f>SUM(I27:I34)+SUM(I36:I40)+SUM(I42:I43)</f>
        <v>0</v>
      </c>
      <c r="J44" s="189">
        <f>SUM(J27:J34)+SUM(J36:J40)+SUM(J42:J43)</f>
        <v>0</v>
      </c>
    </row>
    <row r="45" spans="2:10" ht="15">
      <c r="B45" s="171"/>
      <c r="C45" s="172"/>
      <c r="D45" s="173"/>
      <c r="E45" s="174"/>
      <c r="F45" s="174"/>
      <c r="G45" s="174"/>
      <c r="H45" s="174"/>
      <c r="I45" s="174"/>
      <c r="J45" s="174"/>
    </row>
    <row r="46" spans="2:4" ht="15.75" thickBot="1">
      <c r="B46" s="372" t="s">
        <v>31</v>
      </c>
      <c r="C46" s="372"/>
      <c r="D46" s="372"/>
    </row>
    <row r="47" spans="2:10" ht="15.75" thickBot="1">
      <c r="B47" s="5">
        <v>3</v>
      </c>
      <c r="C47" s="26" t="s">
        <v>32</v>
      </c>
      <c r="D47" s="9" t="s">
        <v>10</v>
      </c>
      <c r="E47" s="8" t="s">
        <v>1</v>
      </c>
      <c r="F47" s="9" t="s">
        <v>1</v>
      </c>
      <c r="G47" s="9" t="s">
        <v>1</v>
      </c>
      <c r="H47" s="9"/>
      <c r="I47" s="9" t="s">
        <v>1</v>
      </c>
      <c r="J47" s="9" t="s">
        <v>1</v>
      </c>
    </row>
    <row r="48" spans="2:10" ht="15">
      <c r="B48" s="10" t="s">
        <v>11</v>
      </c>
      <c r="C48" s="11" t="s">
        <v>21</v>
      </c>
      <c r="D48" s="22"/>
      <c r="E48" s="212"/>
      <c r="F48" s="212"/>
      <c r="G48" s="213"/>
      <c r="H48" s="311"/>
      <c r="I48" s="212"/>
      <c r="J48" s="212"/>
    </row>
    <row r="49" spans="2:10" ht="15">
      <c r="B49" s="14" t="s">
        <v>13</v>
      </c>
      <c r="C49" s="15" t="s">
        <v>24</v>
      </c>
      <c r="D49" s="206"/>
      <c r="E49" s="208"/>
      <c r="F49" s="208"/>
      <c r="G49" s="18"/>
      <c r="H49" s="25"/>
      <c r="I49" s="208"/>
      <c r="J49" s="208"/>
    </row>
    <row r="50" spans="2:10" ht="15">
      <c r="B50" s="14" t="s">
        <v>14</v>
      </c>
      <c r="C50" s="15" t="s">
        <v>45</v>
      </c>
      <c r="D50" s="206"/>
      <c r="E50" s="207"/>
      <c r="F50" s="207"/>
      <c r="G50" s="23"/>
      <c r="H50" s="312"/>
      <c r="I50" s="207"/>
      <c r="J50" s="207"/>
    </row>
    <row r="51" spans="2:10" ht="15">
      <c r="B51" s="14" t="s">
        <v>15</v>
      </c>
      <c r="C51" s="15" t="s">
        <v>46</v>
      </c>
      <c r="D51" s="206"/>
      <c r="E51" s="207"/>
      <c r="F51" s="207"/>
      <c r="G51" s="23"/>
      <c r="H51" s="312"/>
      <c r="I51" s="207"/>
      <c r="J51" s="207"/>
    </row>
    <row r="52" spans="2:10" ht="15">
      <c r="B52" s="14" t="s">
        <v>16</v>
      </c>
      <c r="C52" s="15" t="s">
        <v>19</v>
      </c>
      <c r="D52" s="206"/>
      <c r="E52" s="208"/>
      <c r="F52" s="208"/>
      <c r="G52" s="18"/>
      <c r="H52" s="25"/>
      <c r="I52" s="208"/>
      <c r="J52" s="208"/>
    </row>
    <row r="53" spans="2:10" ht="15">
      <c r="B53" s="14" t="s">
        <v>65</v>
      </c>
      <c r="C53" s="15" t="s">
        <v>23</v>
      </c>
      <c r="D53" s="209">
        <v>-0.0925</v>
      </c>
      <c r="E53" s="210">
        <f>SUM(E48:E49)*D53</f>
        <v>0</v>
      </c>
      <c r="F53" s="208">
        <f>$D$53*F52</f>
        <v>0</v>
      </c>
      <c r="G53" s="18">
        <f>$D$53*G52</f>
        <v>0</v>
      </c>
      <c r="H53" s="25"/>
      <c r="I53" s="208">
        <f>$D$53*I52</f>
        <v>0</v>
      </c>
      <c r="J53" s="208">
        <f>$D$53*J52</f>
        <v>0</v>
      </c>
    </row>
    <row r="54" spans="2:10" ht="15.75" thickBot="1">
      <c r="B54" s="370" t="s">
        <v>25</v>
      </c>
      <c r="C54" s="371"/>
      <c r="D54" s="211"/>
      <c r="E54" s="211">
        <f>SUM(E48:E53)</f>
        <v>0</v>
      </c>
      <c r="F54" s="211">
        <f>SUM(F48:F53)</f>
        <v>0</v>
      </c>
      <c r="G54" s="24">
        <f>SUM(G48:G53)</f>
        <v>0</v>
      </c>
      <c r="H54" s="20"/>
      <c r="I54" s="211">
        <f>SUM(I48:I53)</f>
        <v>0</v>
      </c>
      <c r="J54" s="211">
        <f>SUM(J48:J53)</f>
        <v>0</v>
      </c>
    </row>
    <row r="55" ht="15"/>
    <row r="56" spans="2:5" ht="15.75" thickBot="1">
      <c r="B56" s="368" t="s">
        <v>33</v>
      </c>
      <c r="C56" s="369"/>
      <c r="D56" s="369"/>
      <c r="E56" s="369"/>
    </row>
    <row r="57" spans="2:10" ht="15.75" thickBot="1">
      <c r="B57" s="5">
        <v>4</v>
      </c>
      <c r="C57" s="26" t="s">
        <v>34</v>
      </c>
      <c r="D57" s="9" t="s">
        <v>10</v>
      </c>
      <c r="E57" s="8" t="s">
        <v>1</v>
      </c>
      <c r="F57" s="9" t="s">
        <v>1</v>
      </c>
      <c r="G57" s="9" t="s">
        <v>1</v>
      </c>
      <c r="H57" s="9"/>
      <c r="I57" s="9" t="s">
        <v>1</v>
      </c>
      <c r="J57" s="9" t="s">
        <v>1</v>
      </c>
    </row>
    <row r="58" spans="2:10" ht="15">
      <c r="B58" s="10" t="s">
        <v>11</v>
      </c>
      <c r="C58" s="11" t="s">
        <v>47</v>
      </c>
      <c r="D58" s="286" t="s">
        <v>193</v>
      </c>
      <c r="E58" s="215">
        <v>0</v>
      </c>
      <c r="F58" s="215">
        <v>0</v>
      </c>
      <c r="G58" s="13">
        <v>0</v>
      </c>
      <c r="H58" s="313"/>
      <c r="I58" s="215">
        <v>0</v>
      </c>
      <c r="J58" s="215">
        <v>0</v>
      </c>
    </row>
    <row r="59" spans="2:10" ht="15">
      <c r="B59" s="14" t="s">
        <v>22</v>
      </c>
      <c r="C59" s="15" t="s">
        <v>23</v>
      </c>
      <c r="D59" s="209">
        <v>-0.0925</v>
      </c>
      <c r="E59" s="210">
        <f>$D$59*E58</f>
        <v>0</v>
      </c>
      <c r="F59" s="208">
        <f>$D$59*F58</f>
        <v>0</v>
      </c>
      <c r="G59" s="18">
        <f>$D$59*G58</f>
        <v>0</v>
      </c>
      <c r="H59" s="25"/>
      <c r="I59" s="208">
        <f>$D$59*I58</f>
        <v>0</v>
      </c>
      <c r="J59" s="208">
        <f>$D$59*J58</f>
        <v>0</v>
      </c>
    </row>
    <row r="60" spans="2:10" ht="15.75" thickBot="1">
      <c r="B60" s="370" t="s">
        <v>35</v>
      </c>
      <c r="C60" s="371"/>
      <c r="D60" s="211"/>
      <c r="E60" s="211">
        <f>SUM(E58:E59)</f>
        <v>0</v>
      </c>
      <c r="F60" s="211">
        <f>SUM(F58:F59)</f>
        <v>0</v>
      </c>
      <c r="G60" s="24">
        <f>SUM(G58:G59)</f>
        <v>0</v>
      </c>
      <c r="H60" s="20"/>
      <c r="I60" s="211">
        <f>SUM(I58:I59)</f>
        <v>0</v>
      </c>
      <c r="J60" s="211">
        <f>SUM(J58:J59)</f>
        <v>0</v>
      </c>
    </row>
    <row r="61" ht="15"/>
    <row r="62" spans="2:10" ht="15">
      <c r="B62" s="48" t="s">
        <v>48</v>
      </c>
      <c r="C62" s="48"/>
      <c r="D62" s="49">
        <f>SUM(E62:J62)</f>
        <v>0</v>
      </c>
      <c r="E62" s="46">
        <f>(E60+E54+E44+E22)*E11</f>
        <v>0</v>
      </c>
      <c r="F62" s="46">
        <f>(F60+F54+F44+F22)*F11</f>
        <v>0</v>
      </c>
      <c r="G62" s="46">
        <f>(G60+G54+G44+G22)*G11</f>
        <v>0</v>
      </c>
      <c r="H62" s="46"/>
      <c r="I62" s="46">
        <f>(I60+I54+I44+I22)*I11</f>
        <v>0</v>
      </c>
      <c r="J62" s="46">
        <f>(J60+J54+J44+J22)*J11</f>
        <v>0</v>
      </c>
    </row>
    <row r="63" spans="2:10" ht="15">
      <c r="B63" s="48" t="s">
        <v>49</v>
      </c>
      <c r="C63" s="48"/>
      <c r="D63" s="52">
        <f>IF(D12&gt;0,D62/D12,0)</f>
        <v>0</v>
      </c>
      <c r="E63" s="53">
        <f>IF(E12&gt;0,E62/E12,0)</f>
        <v>0</v>
      </c>
      <c r="F63" s="53">
        <f>IF(F12&gt;0,F62/F12,0)</f>
        <v>0</v>
      </c>
      <c r="G63" s="53">
        <f>IF(G12&gt;0,G62/G12,0)</f>
        <v>0</v>
      </c>
      <c r="H63" s="53"/>
      <c r="I63" s="53">
        <f>IF(I12&gt;0,I62/I12,0)</f>
        <v>0</v>
      </c>
      <c r="J63" s="53" t="e">
        <f>IF(J12&gt;0,J62/J12,0)</f>
        <v>#VALUE!</v>
      </c>
    </row>
    <row r="64" ht="15"/>
  </sheetData>
  <sheetProtection/>
  <mergeCells count="16">
    <mergeCell ref="B56:E56"/>
    <mergeCell ref="B54:C54"/>
    <mergeCell ref="B60:C60"/>
    <mergeCell ref="B46:D46"/>
    <mergeCell ref="B1:D1"/>
    <mergeCell ref="B16:E16"/>
    <mergeCell ref="B24:E24"/>
    <mergeCell ref="B9:D9"/>
    <mergeCell ref="C3:D3"/>
    <mergeCell ref="C4:D4"/>
    <mergeCell ref="C5:D5"/>
    <mergeCell ref="C6:D6"/>
    <mergeCell ref="B11:D11"/>
    <mergeCell ref="B7:D7"/>
    <mergeCell ref="B10:D10"/>
    <mergeCell ref="B8:D8"/>
  </mergeCells>
  <printOptions horizontalCentered="1" verticalCentered="1"/>
  <pageMargins left="0.11811023622047245" right="0.11811023622047245" top="0.1968503937007874" bottom="0.1968503937007874" header="0" footer="0"/>
  <pageSetup fitToHeight="2" fitToWidth="2" horizontalDpi="600" verticalDpi="600" orientation="portrait" paperSize="9" scale="52" r:id="rId3"/>
  <rowBreaks count="1" manualBreakCount="1">
    <brk id="60" max="28" man="1"/>
  </rowBreaks>
  <ignoredErrors>
    <ignoredError sqref="J9 J1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76.421875" style="0" customWidth="1"/>
    <col min="2" max="2" width="13.8515625" style="0" customWidth="1"/>
    <col min="3" max="3" width="11.140625" style="0" customWidth="1"/>
    <col min="5" max="5" width="9.8515625" style="0" customWidth="1"/>
    <col min="6" max="6" width="10.00390625" style="0" customWidth="1"/>
    <col min="7" max="7" width="15.57421875" style="0" customWidth="1"/>
    <col min="8" max="8" width="12.00390625" style="0" customWidth="1"/>
    <col min="9" max="9" width="14.140625" style="0" customWidth="1"/>
    <col min="10" max="10" width="15.00390625" style="0" customWidth="1"/>
    <col min="11" max="11" width="11.421875" style="0" customWidth="1"/>
    <col min="12" max="12" width="16.7109375" style="0" customWidth="1"/>
  </cols>
  <sheetData>
    <row r="1" spans="1:12" ht="51">
      <c r="A1" s="288" t="s">
        <v>179</v>
      </c>
      <c r="B1" s="288" t="s">
        <v>180</v>
      </c>
      <c r="C1" s="289" t="s">
        <v>181</v>
      </c>
      <c r="D1" s="289" t="s">
        <v>186</v>
      </c>
      <c r="E1" s="289" t="s">
        <v>182</v>
      </c>
      <c r="F1" s="289" t="s">
        <v>183</v>
      </c>
      <c r="G1" s="289" t="s">
        <v>187</v>
      </c>
      <c r="H1" s="289" t="s">
        <v>184</v>
      </c>
      <c r="I1" s="289" t="s">
        <v>185</v>
      </c>
      <c r="J1" s="290" t="s">
        <v>201</v>
      </c>
      <c r="K1" s="289" t="s">
        <v>202</v>
      </c>
      <c r="L1" s="320" t="s">
        <v>203</v>
      </c>
    </row>
    <row r="2" spans="1:12" ht="12.75">
      <c r="A2" s="291"/>
      <c r="B2" s="292"/>
      <c r="C2" s="291"/>
      <c r="D2" s="293"/>
      <c r="E2" s="297"/>
      <c r="F2" s="298">
        <f>B2*E2</f>
        <v>0</v>
      </c>
      <c r="G2" s="298"/>
      <c r="H2" s="297"/>
      <c r="I2" s="299"/>
      <c r="J2" s="300">
        <f aca="true" t="shared" si="0" ref="J2:J16">IF(I2&lt;&gt;"",(F2)/I2,"")</f>
      </c>
      <c r="K2" s="301">
        <f>IF(J2&lt;&gt;"",G2+H2+J2,0)</f>
        <v>0</v>
      </c>
      <c r="L2" s="321"/>
    </row>
    <row r="3" spans="1:12" ht="12.75">
      <c r="A3" s="291"/>
      <c r="B3" s="292"/>
      <c r="C3" s="291"/>
      <c r="D3" s="293"/>
      <c r="E3" s="297"/>
      <c r="F3" s="298">
        <f aca="true" t="shared" si="1" ref="F3:F16">B3*E3</f>
        <v>0</v>
      </c>
      <c r="G3" s="298"/>
      <c r="H3" s="297"/>
      <c r="I3" s="299"/>
      <c r="J3" s="300">
        <f t="shared" si="0"/>
      </c>
      <c r="K3" s="301">
        <f aca="true" t="shared" si="2" ref="K3:K16">IF(J3&lt;&gt;"",G3+H3+J3,0)</f>
        <v>0</v>
      </c>
      <c r="L3" s="321"/>
    </row>
    <row r="4" spans="1:12" ht="12.75">
      <c r="A4" s="291"/>
      <c r="B4" s="292"/>
      <c r="C4" s="291"/>
      <c r="D4" s="293"/>
      <c r="E4" s="297"/>
      <c r="F4" s="298">
        <f t="shared" si="1"/>
        <v>0</v>
      </c>
      <c r="G4" s="298"/>
      <c r="H4" s="297"/>
      <c r="I4" s="299"/>
      <c r="J4" s="300">
        <f t="shared" si="0"/>
      </c>
      <c r="K4" s="301">
        <f t="shared" si="2"/>
        <v>0</v>
      </c>
      <c r="L4" s="321"/>
    </row>
    <row r="5" spans="1:12" ht="12.75">
      <c r="A5" s="291"/>
      <c r="B5" s="292"/>
      <c r="C5" s="291"/>
      <c r="D5" s="291"/>
      <c r="E5" s="302"/>
      <c r="F5" s="298">
        <f t="shared" si="1"/>
        <v>0</v>
      </c>
      <c r="G5" s="298"/>
      <c r="H5" s="303"/>
      <c r="I5" s="299"/>
      <c r="J5" s="300">
        <f t="shared" si="0"/>
      </c>
      <c r="K5" s="301">
        <f t="shared" si="2"/>
        <v>0</v>
      </c>
      <c r="L5" s="321"/>
    </row>
    <row r="6" spans="1:12" ht="12.75">
      <c r="A6" s="294"/>
      <c r="B6" s="292"/>
      <c r="C6" s="291"/>
      <c r="D6" s="291"/>
      <c r="E6" s="302"/>
      <c r="F6" s="298">
        <f t="shared" si="1"/>
        <v>0</v>
      </c>
      <c r="G6" s="298"/>
      <c r="H6" s="297"/>
      <c r="I6" s="299"/>
      <c r="J6" s="300">
        <f t="shared" si="0"/>
      </c>
      <c r="K6" s="301">
        <f t="shared" si="2"/>
        <v>0</v>
      </c>
      <c r="L6" s="321"/>
    </row>
    <row r="7" spans="1:12" ht="12.75">
      <c r="A7" s="294"/>
      <c r="B7" s="292"/>
      <c r="C7" s="291"/>
      <c r="D7" s="291"/>
      <c r="E7" s="302"/>
      <c r="F7" s="298">
        <f t="shared" si="1"/>
        <v>0</v>
      </c>
      <c r="G7" s="298"/>
      <c r="H7" s="297"/>
      <c r="I7" s="299"/>
      <c r="J7" s="300">
        <f t="shared" si="0"/>
      </c>
      <c r="K7" s="301">
        <f t="shared" si="2"/>
        <v>0</v>
      </c>
      <c r="L7" s="321"/>
    </row>
    <row r="8" spans="1:12" ht="12.75">
      <c r="A8" s="291"/>
      <c r="B8" s="292"/>
      <c r="C8" s="291"/>
      <c r="D8" s="291"/>
      <c r="E8" s="302"/>
      <c r="F8" s="298">
        <f t="shared" si="1"/>
        <v>0</v>
      </c>
      <c r="G8" s="298"/>
      <c r="H8" s="297"/>
      <c r="I8" s="299"/>
      <c r="J8" s="300">
        <f t="shared" si="0"/>
      </c>
      <c r="K8" s="301">
        <f t="shared" si="2"/>
        <v>0</v>
      </c>
      <c r="L8" s="321"/>
    </row>
    <row r="9" spans="1:12" ht="12.75">
      <c r="A9" s="291"/>
      <c r="B9" s="292"/>
      <c r="C9" s="291"/>
      <c r="D9" s="291"/>
      <c r="E9" s="302"/>
      <c r="F9" s="298">
        <f t="shared" si="1"/>
        <v>0</v>
      </c>
      <c r="G9" s="298"/>
      <c r="H9" s="297"/>
      <c r="I9" s="299"/>
      <c r="J9" s="300">
        <f t="shared" si="0"/>
      </c>
      <c r="K9" s="301">
        <f t="shared" si="2"/>
        <v>0</v>
      </c>
      <c r="L9" s="321"/>
    </row>
    <row r="10" spans="1:12" ht="12.75">
      <c r="A10" s="291"/>
      <c r="B10" s="292"/>
      <c r="C10" s="291"/>
      <c r="D10" s="291"/>
      <c r="E10" s="302"/>
      <c r="F10" s="298">
        <f t="shared" si="1"/>
        <v>0</v>
      </c>
      <c r="G10" s="298"/>
      <c r="H10" s="297"/>
      <c r="I10" s="299"/>
      <c r="J10" s="300">
        <f t="shared" si="0"/>
      </c>
      <c r="K10" s="301">
        <f t="shared" si="2"/>
        <v>0</v>
      </c>
      <c r="L10" s="321"/>
    </row>
    <row r="11" spans="1:12" ht="12.75">
      <c r="A11" s="294"/>
      <c r="B11" s="295"/>
      <c r="C11" s="294"/>
      <c r="D11" s="294"/>
      <c r="E11" s="302"/>
      <c r="F11" s="298">
        <f t="shared" si="1"/>
        <v>0</v>
      </c>
      <c r="G11" s="298"/>
      <c r="H11" s="297"/>
      <c r="I11" s="299"/>
      <c r="J11" s="300">
        <f t="shared" si="0"/>
      </c>
      <c r="K11" s="301">
        <f t="shared" si="2"/>
        <v>0</v>
      </c>
      <c r="L11" s="321"/>
    </row>
    <row r="12" spans="1:12" ht="12.75">
      <c r="A12" s="291"/>
      <c r="B12" s="295"/>
      <c r="C12" s="294"/>
      <c r="D12" s="294"/>
      <c r="E12" s="302"/>
      <c r="F12" s="298">
        <f t="shared" si="1"/>
        <v>0</v>
      </c>
      <c r="G12" s="298"/>
      <c r="H12" s="297"/>
      <c r="I12" s="299"/>
      <c r="J12" s="300">
        <f t="shared" si="0"/>
      </c>
      <c r="K12" s="301">
        <f t="shared" si="2"/>
        <v>0</v>
      </c>
      <c r="L12" s="321"/>
    </row>
    <row r="13" spans="1:12" ht="12.75">
      <c r="A13" s="291"/>
      <c r="B13" s="296"/>
      <c r="C13" s="294"/>
      <c r="D13" s="294"/>
      <c r="E13" s="302"/>
      <c r="F13" s="298">
        <f t="shared" si="1"/>
        <v>0</v>
      </c>
      <c r="G13" s="298"/>
      <c r="H13" s="297"/>
      <c r="I13" s="299"/>
      <c r="J13" s="300">
        <f t="shared" si="0"/>
      </c>
      <c r="K13" s="301">
        <f t="shared" si="2"/>
        <v>0</v>
      </c>
      <c r="L13" s="321"/>
    </row>
    <row r="14" spans="1:12" ht="12.75">
      <c r="A14" s="291"/>
      <c r="B14" s="292"/>
      <c r="C14" s="291"/>
      <c r="D14" s="291"/>
      <c r="E14" s="302"/>
      <c r="F14" s="298">
        <f t="shared" si="1"/>
        <v>0</v>
      </c>
      <c r="G14" s="298"/>
      <c r="H14" s="297"/>
      <c r="I14" s="299"/>
      <c r="J14" s="300">
        <f t="shared" si="0"/>
      </c>
      <c r="K14" s="301">
        <f t="shared" si="2"/>
        <v>0</v>
      </c>
      <c r="L14" s="321"/>
    </row>
    <row r="15" spans="1:12" ht="12.75">
      <c r="A15" s="291"/>
      <c r="B15" s="292"/>
      <c r="C15" s="291"/>
      <c r="D15" s="291"/>
      <c r="E15" s="302"/>
      <c r="F15" s="298">
        <f t="shared" si="1"/>
        <v>0</v>
      </c>
      <c r="G15" s="298"/>
      <c r="H15" s="297"/>
      <c r="I15" s="299"/>
      <c r="J15" s="300">
        <f t="shared" si="0"/>
      </c>
      <c r="K15" s="301">
        <f t="shared" si="2"/>
        <v>0</v>
      </c>
      <c r="L15" s="321"/>
    </row>
    <row r="16" spans="1:12" ht="12.75">
      <c r="A16" s="291"/>
      <c r="B16" s="292"/>
      <c r="C16" s="291"/>
      <c r="D16" s="291"/>
      <c r="E16" s="302"/>
      <c r="F16" s="298">
        <f t="shared" si="1"/>
        <v>0</v>
      </c>
      <c r="G16" s="298"/>
      <c r="H16" s="297"/>
      <c r="I16" s="299"/>
      <c r="J16" s="300">
        <f t="shared" si="0"/>
      </c>
      <c r="K16" s="301">
        <f t="shared" si="2"/>
        <v>0</v>
      </c>
      <c r="L16" s="321"/>
    </row>
    <row r="17" spans="1:12" ht="12.75">
      <c r="A17" s="381" t="s">
        <v>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3"/>
      <c r="L17" s="304">
        <f>SUM(L2:L16)</f>
        <v>0</v>
      </c>
    </row>
    <row r="18" spans="1:12" ht="12.75">
      <c r="A18" s="385" t="s">
        <v>188</v>
      </c>
      <c r="B18" s="386"/>
      <c r="C18" s="386"/>
      <c r="D18" s="386"/>
      <c r="E18" s="386"/>
      <c r="F18" s="386"/>
      <c r="G18" s="386"/>
      <c r="H18" s="386"/>
      <c r="I18" s="386"/>
      <c r="J18" s="387"/>
      <c r="K18" s="305">
        <v>-0.0925</v>
      </c>
      <c r="L18" s="306">
        <f>K18*L17</f>
        <v>0</v>
      </c>
    </row>
    <row r="19" spans="1:12" ht="12.75">
      <c r="A19" s="384" t="s">
        <v>204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07">
        <f>L17-L18</f>
        <v>0</v>
      </c>
    </row>
  </sheetData>
  <sheetProtection/>
  <mergeCells count="3">
    <mergeCell ref="A17:K17"/>
    <mergeCell ref="A19:K19"/>
    <mergeCell ref="A18:J18"/>
  </mergeCells>
  <printOptions/>
  <pageMargins left="0.511811024" right="0.511811024" top="0.787401575" bottom="0.787401575" header="0.31496062" footer="0.31496062"/>
  <pageSetup orientation="portrait" paperSize="9" r:id="rId3"/>
  <ignoredErrors>
    <ignoredError sqref="H4:H16 F2:F16 J2:J16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8">
      <selection activeCell="A22" sqref="A22:E22"/>
    </sheetView>
  </sheetViews>
  <sheetFormatPr defaultColWidth="9.140625" defaultRowHeight="12.75"/>
  <cols>
    <col min="1" max="1" width="145.421875" style="0" customWidth="1"/>
    <col min="2" max="3" width="12.28125" style="0" customWidth="1"/>
  </cols>
  <sheetData>
    <row r="1" spans="1:6" ht="12.75">
      <c r="A1" s="393" t="s">
        <v>198</v>
      </c>
      <c r="B1" s="394"/>
      <c r="C1" s="394"/>
      <c r="D1" s="394"/>
      <c r="E1" s="394"/>
      <c r="F1" s="395"/>
    </row>
    <row r="2" spans="1:6" ht="38.25">
      <c r="A2" s="238" t="s">
        <v>179</v>
      </c>
      <c r="B2" s="239" t="s">
        <v>189</v>
      </c>
      <c r="C2" s="240" t="s">
        <v>180</v>
      </c>
      <c r="D2" s="240" t="s">
        <v>181</v>
      </c>
      <c r="E2" s="240" t="s">
        <v>182</v>
      </c>
      <c r="F2" s="241" t="s">
        <v>190</v>
      </c>
    </row>
    <row r="3" spans="1:6" ht="12.75">
      <c r="A3" s="223"/>
      <c r="B3" s="224"/>
      <c r="C3" s="224"/>
      <c r="D3" s="224"/>
      <c r="E3" s="225"/>
      <c r="F3" s="232">
        <f aca="true" t="shared" si="0" ref="F3:F21">E3*C3</f>
        <v>0</v>
      </c>
    </row>
    <row r="4" spans="1:6" ht="12.75">
      <c r="A4" s="231"/>
      <c r="B4" s="224"/>
      <c r="C4" s="224"/>
      <c r="D4" s="224"/>
      <c r="E4" s="225"/>
      <c r="F4" s="232">
        <f t="shared" si="0"/>
        <v>0</v>
      </c>
    </row>
    <row r="5" spans="1:6" ht="12.75">
      <c r="A5" s="233"/>
      <c r="B5" s="224"/>
      <c r="C5" s="227"/>
      <c r="D5" s="226"/>
      <c r="E5" s="228"/>
      <c r="F5" s="232">
        <f t="shared" si="0"/>
        <v>0</v>
      </c>
    </row>
    <row r="6" spans="1:6" ht="12.75">
      <c r="A6" s="233"/>
      <c r="B6" s="224"/>
      <c r="C6" s="227"/>
      <c r="D6" s="226"/>
      <c r="E6" s="228"/>
      <c r="F6" s="232">
        <f t="shared" si="0"/>
        <v>0</v>
      </c>
    </row>
    <row r="7" spans="1:6" ht="12.75">
      <c r="A7" s="231"/>
      <c r="B7" s="224"/>
      <c r="C7" s="224"/>
      <c r="D7" s="224"/>
      <c r="E7" s="225"/>
      <c r="F7" s="232">
        <f t="shared" si="0"/>
        <v>0</v>
      </c>
    </row>
    <row r="8" spans="1:6" ht="12.75">
      <c r="A8" s="234"/>
      <c r="B8" s="224"/>
      <c r="C8" s="224"/>
      <c r="D8" s="229"/>
      <c r="E8" s="225"/>
      <c r="F8" s="232">
        <f t="shared" si="0"/>
        <v>0</v>
      </c>
    </row>
    <row r="9" spans="1:6" ht="12.75">
      <c r="A9" s="231"/>
      <c r="B9" s="224"/>
      <c r="C9" s="224"/>
      <c r="D9" s="224"/>
      <c r="E9" s="225"/>
      <c r="F9" s="232">
        <f t="shared" si="0"/>
        <v>0</v>
      </c>
    </row>
    <row r="10" spans="1:6" ht="12.75">
      <c r="A10" s="231"/>
      <c r="B10" s="224"/>
      <c r="C10" s="224"/>
      <c r="D10" s="224"/>
      <c r="E10" s="225"/>
      <c r="F10" s="232">
        <f t="shared" si="0"/>
        <v>0</v>
      </c>
    </row>
    <row r="11" spans="1:6" ht="12.75">
      <c r="A11" s="231"/>
      <c r="B11" s="224"/>
      <c r="C11" s="224"/>
      <c r="D11" s="224"/>
      <c r="E11" s="225"/>
      <c r="F11" s="232">
        <f t="shared" si="0"/>
        <v>0</v>
      </c>
    </row>
    <row r="12" spans="1:6" ht="12.75">
      <c r="A12" s="231"/>
      <c r="B12" s="224"/>
      <c r="C12" s="224"/>
      <c r="D12" s="224"/>
      <c r="E12" s="225"/>
      <c r="F12" s="232">
        <f t="shared" si="0"/>
        <v>0</v>
      </c>
    </row>
    <row r="13" spans="1:6" ht="12.75">
      <c r="A13" s="231"/>
      <c r="B13" s="224"/>
      <c r="C13" s="224"/>
      <c r="D13" s="224"/>
      <c r="E13" s="225"/>
      <c r="F13" s="232">
        <f t="shared" si="0"/>
        <v>0</v>
      </c>
    </row>
    <row r="14" spans="1:6" ht="12.75">
      <c r="A14" s="233"/>
      <c r="B14" s="224"/>
      <c r="C14" s="227"/>
      <c r="D14" s="226"/>
      <c r="E14" s="228"/>
      <c r="F14" s="232">
        <f t="shared" si="0"/>
        <v>0</v>
      </c>
    </row>
    <row r="15" spans="1:6" ht="12.75">
      <c r="A15" s="234"/>
      <c r="B15" s="224"/>
      <c r="C15" s="224"/>
      <c r="D15" s="229"/>
      <c r="E15" s="225"/>
      <c r="F15" s="232">
        <f t="shared" si="0"/>
        <v>0</v>
      </c>
    </row>
    <row r="16" spans="1:6" ht="12.75">
      <c r="A16" s="233"/>
      <c r="B16" s="224"/>
      <c r="C16" s="227"/>
      <c r="D16" s="226"/>
      <c r="E16" s="228"/>
      <c r="F16" s="232">
        <f t="shared" si="0"/>
        <v>0</v>
      </c>
    </row>
    <row r="17" spans="1:6" ht="12.75">
      <c r="A17" s="231"/>
      <c r="B17" s="224"/>
      <c r="C17" s="227"/>
      <c r="D17" s="226"/>
      <c r="E17" s="228"/>
      <c r="F17" s="232">
        <f t="shared" si="0"/>
        <v>0</v>
      </c>
    </row>
    <row r="18" spans="1:6" ht="12.75">
      <c r="A18" s="231"/>
      <c r="B18" s="224"/>
      <c r="C18" s="224"/>
      <c r="D18" s="224"/>
      <c r="E18" s="225"/>
      <c r="F18" s="232">
        <f t="shared" si="0"/>
        <v>0</v>
      </c>
    </row>
    <row r="19" spans="1:6" ht="12.75">
      <c r="A19" s="233"/>
      <c r="B19" s="224"/>
      <c r="C19" s="224"/>
      <c r="D19" s="224"/>
      <c r="E19" s="225"/>
      <c r="F19" s="232">
        <f t="shared" si="0"/>
        <v>0</v>
      </c>
    </row>
    <row r="20" spans="1:6" ht="12.75">
      <c r="A20" s="233"/>
      <c r="B20" s="224"/>
      <c r="C20" s="227"/>
      <c r="D20" s="226"/>
      <c r="E20" s="228"/>
      <c r="F20" s="232">
        <f t="shared" si="0"/>
        <v>0</v>
      </c>
    </row>
    <row r="21" spans="1:6" ht="13.5" thickBot="1">
      <c r="A21" s="231"/>
      <c r="B21" s="224"/>
      <c r="C21" s="224"/>
      <c r="D21" s="224"/>
      <c r="E21" s="225"/>
      <c r="F21" s="232">
        <f t="shared" si="0"/>
        <v>0</v>
      </c>
    </row>
    <row r="22" spans="1:6" ht="12.75">
      <c r="A22" s="396" t="s">
        <v>199</v>
      </c>
      <c r="B22" s="397"/>
      <c r="C22" s="397"/>
      <c r="D22" s="397"/>
      <c r="E22" s="397"/>
      <c r="F22" s="236">
        <f>SUM(F3:F21)</f>
        <v>0</v>
      </c>
    </row>
    <row r="23" spans="1:6" ht="15">
      <c r="A23" s="388" t="s">
        <v>188</v>
      </c>
      <c r="B23" s="389"/>
      <c r="C23" s="389"/>
      <c r="D23" s="389"/>
      <c r="E23" s="230">
        <v>-0.0925</v>
      </c>
      <c r="F23" s="235">
        <f>E23*F22</f>
        <v>0</v>
      </c>
    </row>
    <row r="24" spans="1:6" ht="13.5" thickBot="1">
      <c r="A24" s="390" t="s">
        <v>200</v>
      </c>
      <c r="B24" s="391"/>
      <c r="C24" s="391"/>
      <c r="D24" s="391"/>
      <c r="E24" s="392"/>
      <c r="F24" s="237">
        <f>F22-F23</f>
        <v>0</v>
      </c>
    </row>
  </sheetData>
  <sheetProtection/>
  <mergeCells count="4">
    <mergeCell ref="A23:D23"/>
    <mergeCell ref="A24:E24"/>
    <mergeCell ref="A1:F1"/>
    <mergeCell ref="A22:E2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B19" sqref="B19:D19"/>
    </sheetView>
  </sheetViews>
  <sheetFormatPr defaultColWidth="9.140625" defaultRowHeight="12.75"/>
  <cols>
    <col min="1" max="1" width="9.140625" style="27" customWidth="1"/>
    <col min="2" max="2" width="46.57421875" style="27" customWidth="1"/>
    <col min="3" max="3" width="13.28125" style="27" bestFit="1" customWidth="1"/>
    <col min="4" max="4" width="13.28125" style="27" customWidth="1"/>
    <col min="5" max="5" width="17.7109375" style="27" customWidth="1"/>
    <col min="6" max="6" width="11.421875" style="27" customWidth="1"/>
    <col min="7" max="7" width="9.140625" style="27" customWidth="1"/>
    <col min="8" max="8" width="17.8515625" style="59" customWidth="1"/>
    <col min="9" max="16384" width="9.140625" style="27" customWidth="1"/>
  </cols>
  <sheetData>
    <row r="1" spans="1:6" ht="15.75">
      <c r="A1" s="70"/>
      <c r="B1" s="401" t="s">
        <v>40</v>
      </c>
      <c r="C1" s="401"/>
      <c r="D1" s="401"/>
      <c r="E1" s="401"/>
      <c r="F1" s="70"/>
    </row>
    <row r="2" spans="1:5" ht="15.75">
      <c r="A2" s="70"/>
      <c r="B2" s="70"/>
      <c r="C2" s="70"/>
      <c r="D2" s="70"/>
      <c r="E2" s="70"/>
    </row>
    <row r="3" spans="1:6" ht="15.75">
      <c r="A3" s="70"/>
      <c r="B3" s="402" t="s">
        <v>51</v>
      </c>
      <c r="C3" s="402"/>
      <c r="D3" s="402"/>
      <c r="E3" s="402"/>
      <c r="F3" s="80" t="s">
        <v>62</v>
      </c>
    </row>
    <row r="4" spans="1:6" ht="15.75">
      <c r="A4" s="70"/>
      <c r="B4" s="71" t="s">
        <v>39</v>
      </c>
      <c r="C4" s="71"/>
      <c r="D4" s="71"/>
      <c r="E4" s="72">
        <f>'M.O.'!D62</f>
        <v>0</v>
      </c>
      <c r="F4" s="76">
        <f>IF(E19&gt;0,E4/E19,0)</f>
        <v>0</v>
      </c>
    </row>
    <row r="5" spans="1:6" ht="15.75">
      <c r="A5" s="70"/>
      <c r="B5" s="71"/>
      <c r="C5" s="71"/>
      <c r="D5" s="71"/>
      <c r="E5" s="72"/>
      <c r="F5" s="70"/>
    </row>
    <row r="6" spans="1:6" ht="15.75">
      <c r="A6" s="70"/>
      <c r="B6" s="403" t="s">
        <v>52</v>
      </c>
      <c r="C6" s="403"/>
      <c r="D6" s="403"/>
      <c r="E6" s="403"/>
      <c r="F6" s="70"/>
    </row>
    <row r="7" spans="1:6" ht="15.75">
      <c r="A7" s="70"/>
      <c r="B7" s="71" t="s">
        <v>50</v>
      </c>
      <c r="C7" s="71"/>
      <c r="D7" s="71"/>
      <c r="E7" s="82">
        <f>Eqto!L19+Mat!F24</f>
        <v>0</v>
      </c>
      <c r="F7" s="76">
        <f>IF(E19&gt;0,E7/E19,0)</f>
        <v>0</v>
      </c>
    </row>
    <row r="8" spans="1:10" ht="15.75">
      <c r="A8" s="70"/>
      <c r="B8" s="71"/>
      <c r="C8" s="71"/>
      <c r="D8" s="71"/>
      <c r="E8" s="72"/>
      <c r="F8" s="70"/>
      <c r="I8" s="54"/>
      <c r="J8" s="55"/>
    </row>
    <row r="9" spans="1:10" ht="15.75">
      <c r="A9" s="70"/>
      <c r="B9" s="403" t="s">
        <v>192</v>
      </c>
      <c r="C9" s="403"/>
      <c r="D9" s="403"/>
      <c r="E9" s="403"/>
      <c r="F9" s="70"/>
      <c r="I9" s="54"/>
      <c r="J9" s="55"/>
    </row>
    <row r="10" spans="1:10" ht="15.75">
      <c r="A10" s="70"/>
      <c r="B10" s="73" t="s">
        <v>2</v>
      </c>
      <c r="C10" s="74" t="s">
        <v>3</v>
      </c>
      <c r="D10" s="74">
        <v>0</v>
      </c>
      <c r="E10" s="75">
        <f>D10*(E7+E4)</f>
        <v>0</v>
      </c>
      <c r="F10" s="76">
        <f>IF(E19&gt;0,E10/$E$19,0)</f>
        <v>0</v>
      </c>
      <c r="I10" s="54"/>
      <c r="J10" s="55"/>
    </row>
    <row r="11" spans="1:10" ht="15.75">
      <c r="A11" s="70"/>
      <c r="B11" s="73" t="s">
        <v>55</v>
      </c>
      <c r="C11" s="74" t="s">
        <v>191</v>
      </c>
      <c r="D11" s="308">
        <v>0</v>
      </c>
      <c r="E11" s="75">
        <f>D11*Demanda!B9</f>
        <v>0</v>
      </c>
      <c r="F11" s="76">
        <f>IF(E19&gt;0,E11/$E$19,0)</f>
        <v>0</v>
      </c>
      <c r="I11" s="54"/>
      <c r="J11" s="55"/>
    </row>
    <row r="12" spans="1:6" ht="15.75">
      <c r="A12" s="70"/>
      <c r="B12" s="73"/>
      <c r="C12" s="74"/>
      <c r="D12" s="74"/>
      <c r="E12" s="75"/>
      <c r="F12" s="70"/>
    </row>
    <row r="13" spans="1:6" ht="15.75">
      <c r="A13" s="70"/>
      <c r="B13" s="403" t="s">
        <v>53</v>
      </c>
      <c r="C13" s="403"/>
      <c r="D13" s="403"/>
      <c r="E13" s="403"/>
      <c r="F13" s="70"/>
    </row>
    <row r="14" spans="1:6" ht="15.75">
      <c r="A14" s="70"/>
      <c r="B14" s="73" t="s">
        <v>54</v>
      </c>
      <c r="C14" s="77">
        <f>SUM(C15:C17)</f>
        <v>0.14250000000000002</v>
      </c>
      <c r="D14" s="77"/>
      <c r="E14" s="75">
        <f>(E4+E7+E10+E11)/(100%-$C$14)*$C$14</f>
        <v>0</v>
      </c>
      <c r="F14" s="81">
        <f>IF(E19&gt;0,E14/$E$19,0)</f>
        <v>0</v>
      </c>
    </row>
    <row r="15" spans="1:6" ht="15.75">
      <c r="A15" s="70"/>
      <c r="B15" s="73" t="s">
        <v>36</v>
      </c>
      <c r="C15" s="74">
        <v>0.0925</v>
      </c>
      <c r="D15" s="74"/>
      <c r="E15" s="73"/>
      <c r="F15" s="70"/>
    </row>
    <row r="16" spans="1:6" ht="15.75">
      <c r="A16" s="70"/>
      <c r="B16" s="73" t="s">
        <v>37</v>
      </c>
      <c r="C16" s="74">
        <v>0</v>
      </c>
      <c r="D16" s="74"/>
      <c r="E16" s="73"/>
      <c r="F16" s="70"/>
    </row>
    <row r="17" spans="1:6" ht="15.75">
      <c r="A17" s="70"/>
      <c r="B17" s="73" t="s">
        <v>38</v>
      </c>
      <c r="C17" s="74">
        <v>0.05</v>
      </c>
      <c r="D17" s="74"/>
      <c r="E17" s="73"/>
      <c r="F17" s="70"/>
    </row>
    <row r="18" spans="1:6" ht="15.75">
      <c r="A18" s="70"/>
      <c r="B18" s="70"/>
      <c r="C18" s="78"/>
      <c r="D18" s="78"/>
      <c r="E18" s="79"/>
      <c r="F18" s="70"/>
    </row>
    <row r="19" spans="1:6" ht="15.75">
      <c r="A19" s="70"/>
      <c r="B19" s="398" t="s">
        <v>205</v>
      </c>
      <c r="C19" s="399"/>
      <c r="D19" s="400"/>
      <c r="E19" s="29">
        <f>E4+E7+E10+E11+E14</f>
        <v>0</v>
      </c>
      <c r="F19" s="70"/>
    </row>
    <row r="20" spans="1:6" ht="15.75">
      <c r="A20" s="70"/>
      <c r="B20" s="404" t="s">
        <v>206</v>
      </c>
      <c r="C20" s="405"/>
      <c r="D20" s="406"/>
      <c r="E20" s="322">
        <f>E19/Demanda!B9</f>
        <v>0</v>
      </c>
      <c r="F20" s="70"/>
    </row>
    <row r="21" spans="1:10" ht="15.75">
      <c r="A21" s="70"/>
      <c r="B21" s="398" t="s">
        <v>207</v>
      </c>
      <c r="C21" s="399"/>
      <c r="D21" s="400"/>
      <c r="E21" s="29">
        <f>E19*2</f>
        <v>0</v>
      </c>
      <c r="F21" s="70"/>
      <c r="J21" s="56"/>
    </row>
    <row r="22" spans="1:6" ht="15.75">
      <c r="A22" s="70"/>
      <c r="B22" s="398" t="s">
        <v>208</v>
      </c>
      <c r="C22" s="399"/>
      <c r="D22" s="400"/>
      <c r="E22" s="29">
        <f>E19*6</f>
        <v>0</v>
      </c>
      <c r="F22" s="70"/>
    </row>
    <row r="23" ht="15">
      <c r="B23" s="28"/>
    </row>
  </sheetData>
  <sheetProtection/>
  <mergeCells count="9">
    <mergeCell ref="B21:D21"/>
    <mergeCell ref="B22:D22"/>
    <mergeCell ref="B1:E1"/>
    <mergeCell ref="B3:E3"/>
    <mergeCell ref="B6:E6"/>
    <mergeCell ref="B9:E9"/>
    <mergeCell ref="B13:E13"/>
    <mergeCell ref="B20:D20"/>
    <mergeCell ref="B19:D1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Encargos Sociais e Trabalhistas</dc:title>
  <dc:subject/>
  <dc:creator>SESEG - Assessoria</dc:creator>
  <cp:keywords/>
  <dc:description/>
  <cp:lastModifiedBy>Franklin Brasil</cp:lastModifiedBy>
  <cp:lastPrinted>2014-02-26T17:11:10Z</cp:lastPrinted>
  <dcterms:created xsi:type="dcterms:W3CDTF">1999-03-22T20:47:50Z</dcterms:created>
  <dcterms:modified xsi:type="dcterms:W3CDTF">2019-12-11T04:29:22Z</dcterms:modified>
  <cp:category/>
  <cp:version/>
  <cp:contentType/>
  <cp:contentStatus/>
</cp:coreProperties>
</file>